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0" yWindow="-210" windowWidth="15360" windowHeight="3030"/>
  </bookViews>
  <sheets>
    <sheet name="welcome" sheetId="21" r:id="rId1"/>
    <sheet name="getting started" sheetId="22" r:id="rId2"/>
    <sheet name="Assessment" sheetId="30" r:id="rId3"/>
    <sheet name="IRR" sheetId="119" r:id="rId4"/>
    <sheet name="Variables" sheetId="17" r:id="rId5"/>
    <sheet name="Results_" sheetId="26" r:id="rId6"/>
    <sheet name="Inputs" sheetId="43" r:id="rId7"/>
    <sheet name="DefaultResults" sheetId="42" r:id="rId8"/>
    <sheet name="Table 1" sheetId="1" r:id="rId9"/>
    <sheet name="Table 2a" sheetId="2" r:id="rId10"/>
    <sheet name="Tables 4-9" sheetId="12" r:id="rId11"/>
    <sheet name="Tables 4-9 (2)" sheetId="27" r:id="rId12"/>
    <sheet name="Tables 10-15" sheetId="13" r:id="rId13"/>
    <sheet name="Tables 16-21" sheetId="14" r:id="rId14"/>
    <sheet name="Tables 22-27" sheetId="15" r:id="rId15"/>
  </sheets>
  <externalReferences>
    <externalReference r:id="rId16"/>
  </externalReferences>
  <definedNames>
    <definedName name="_ftnref1" localSheetId="8">'Table 1'!$A$1</definedName>
    <definedName name="A">[1]frontend!$C$34</definedName>
    <definedName name="adj_main_heating_system_eff">[1]worksheet!$G$246</definedName>
    <definedName name="Adoors">[1]frontend!$C$31</definedName>
    <definedName name="Aexposed">[1]frontend!$C$33</definedName>
    <definedName name="Aopaque_door">[1]windows!$B$22</definedName>
    <definedName name="appliance_emissions">[1]worksheet!$G$374</definedName>
    <definedName name="Aroof_window">[1]frontend!$C$30</definedName>
    <definedName name="aspect_ratio">[1]frontend!$B$11</definedName>
    <definedName name="Awindow">[1]frontend!$C$29</definedName>
    <definedName name="background_inf">[1]worksheet!$G$64</definedName>
    <definedName name="BFRC_rating" localSheetId="2">[1]worksheet!#REF!</definedName>
    <definedName name="BFRC_rating" localSheetId="5">[1]worksheet!#REF!</definedName>
    <definedName name="BFRC_rating" localSheetId="11">[1]worksheet!#REF!</definedName>
    <definedName name="BFRC_rating">[1]worksheet!#REF!</definedName>
    <definedName name="bulb_ratio">[1]frontend!$C$64</definedName>
    <definedName name="C_1">[1]worksheet!$G$385</definedName>
    <definedName name="C_2">[1]worksheet!$G$387</definedName>
    <definedName name="c_anthracite">[1]tables!$I$606</definedName>
    <definedName name="c_el">[1]tables!$I$614</definedName>
    <definedName name="c_el_displ">[1]tables!$I$621</definedName>
    <definedName name="c_gas">[1]tables!$I$599</definedName>
    <definedName name="c_lpg">[1]tables!$I$600</definedName>
    <definedName name="c_oil">[1]tables!$I$603</definedName>
    <definedName name="c_primary_fuel">[1]tables!$K$636</definedName>
    <definedName name="c_secondary_fuel">[1]tables!$K$637</definedName>
    <definedName name="c_wood_pellet">[1]tables!$I$610</definedName>
    <definedName name="carbon_factor" localSheetId="2">[1]worksheet!#REF!</definedName>
    <definedName name="carbon_factor" localSheetId="5">[1]worksheet!#REF!</definedName>
    <definedName name="carbon_factor" localSheetId="11">[1]worksheet!#REF!</definedName>
    <definedName name="carbon_factor">[1]worksheet!#REF!</definedName>
    <definedName name="carbon_index" localSheetId="2">[1]worksheet!#REF!</definedName>
    <definedName name="carbon_index" localSheetId="5">[1]worksheet!#REF!</definedName>
    <definedName name="carbon_index" localSheetId="11">[1]worksheet!#REF!</definedName>
    <definedName name="carbon_index">[1]worksheet!#REF!</definedName>
    <definedName name="Cf">[1]frontend!$M$7</definedName>
    <definedName name="chimneys_fans">[1]worksheet!$G$36</definedName>
    <definedName name="CHP_list">'[1]drop down menus'!$E$36:$E$38</definedName>
    <definedName name="cill_length">[1]windows!$B$20</definedName>
    <definedName name="Correction_factor">[1]tables!$J$734</definedName>
    <definedName name="ctotal">[1]worksheet!$G$105</definedName>
    <definedName name="Cv">[1]worksheet!$G$103</definedName>
    <definedName name="cylinder_loss_factor">[1]worksheet!$G$127</definedName>
    <definedName name="default_g">[1]tables!$J$465</definedName>
    <definedName name="default_glazed_fraction">[1]tables!$C$481</definedName>
    <definedName name="default_VT">[1]tables!$J$466</definedName>
    <definedName name="degree_days">[1]worksheet!$G$233</definedName>
    <definedName name="delta_garage">[1]garage!$B$4</definedName>
    <definedName name="delta_lighting_gains">[1]worksheet!$G$393</definedName>
    <definedName name="depth">[1]frontend!$B$13</definedName>
    <definedName name="design_ach">[1]frontend!$C$37</definedName>
    <definedName name="dhw_energy">[1]worksheet!$G$263</definedName>
    <definedName name="dhw_insulation_thickness">[1]worksheet!$C$126</definedName>
    <definedName name="door_height">[1]windows!$B$9</definedName>
    <definedName name="door_width">[1]windows!$B$8</definedName>
    <definedName name="duct_insul">[1]frontend!$I$41</definedName>
    <definedName name="duct_type">[1]frontend!$I$40</definedName>
    <definedName name="dwelling_name">[1]frontend!$G$8</definedName>
    <definedName name="dwelling_type">[1]frontend!$B$8</definedName>
    <definedName name="E_star">[1]worksheet!$G$408</definedName>
    <definedName name="E_value" localSheetId="2">[1]worksheet!#REF!</definedName>
    <definedName name="E_value" localSheetId="5">[1]worksheet!#REF!</definedName>
    <definedName name="E_value" localSheetId="11">[1]worksheet!#REF!</definedName>
    <definedName name="E_value">[1]worksheet!#REF!</definedName>
    <definedName name="EB">[1]worksheet!$G$383</definedName>
    <definedName name="ECF">[1]worksheet!$G$321</definedName>
    <definedName name="effective_vent_rate">[1]worksheet!$G$79</definedName>
    <definedName name="efficiency_adjustments">[1]worksheet!$G$247</definedName>
    <definedName name="el_DHW">[1]worksheet!$C$285</definedName>
    <definedName name="el_price">[1]tables!$H$614</definedName>
    <definedName name="embed">[1]garage!$B$3</definedName>
    <definedName name="Emchs">[1]frontend!$H$79</definedName>
    <definedName name="Emcsum">[1]frontend!$H$80</definedName>
    <definedName name="energy_cost_deflator">[1]tables!$G$633</definedName>
    <definedName name="fan_pump_cost">[1]worksheet!$G$301</definedName>
    <definedName name="fan_pump_energy">[1]worksheet!$G$273</definedName>
    <definedName name="flat_GF_area" localSheetId="2">[1]frontend!#REF!</definedName>
    <definedName name="flat_GF_area" localSheetId="5">[1]frontend!#REF!</definedName>
    <definedName name="flat_GF_area" localSheetId="11">[1]frontend!#REF!</definedName>
    <definedName name="flat_GF_area">[1]frontend!#REF!</definedName>
    <definedName name="flat_roof_area" localSheetId="2">[1]frontend!#REF!</definedName>
    <definedName name="flat_roof_area" localSheetId="5">[1]frontend!#REF!</definedName>
    <definedName name="flat_roof_area" localSheetId="11">[1]frontend!#REF!</definedName>
    <definedName name="flat_roof_area">[1]frontend!#REF!</definedName>
    <definedName name="flat_wall_area" localSheetId="2">[1]frontend!#REF!</definedName>
    <definedName name="flat_wall_area" localSheetId="5">[1]frontend!#REF!</definedName>
    <definedName name="flat_wall_area" localSheetId="11">[1]frontend!#REF!</definedName>
    <definedName name="flat_wall_area">[1]frontend!#REF!</definedName>
    <definedName name="gamma">[1]tables!$E$845</definedName>
    <definedName name="garage">[1]frontend!$B$9</definedName>
    <definedName name="garage_stretch">[1]garage!$B$5</definedName>
    <definedName name="gas_price">[1]tables!$H$599</definedName>
    <definedName name="generic_WSF" localSheetId="2">[1]tables!#REF!</definedName>
    <definedName name="generic_WSF" localSheetId="5">[1]tables!#REF!</definedName>
    <definedName name="generic_WSF" localSheetId="11">[1]tables!#REF!</definedName>
    <definedName name="generic_WSF">[1]tables!#REF!</definedName>
    <definedName name="GFA">[1]frontend!$B$4</definedName>
    <definedName name="GL">[1]worksheet!$G$386</definedName>
    <definedName name="glazing_asymmetry">[1]frontend!$B$15</definedName>
    <definedName name="GLR">[1]worksheet!$G$194</definedName>
    <definedName name="GR">[1]frontend!$B$14</definedName>
    <definedName name="H_value" localSheetId="2">[1]worksheet!#REF!</definedName>
    <definedName name="H_value" localSheetId="5">[1]worksheet!#REF!</definedName>
    <definedName name="H_value" localSheetId="11">[1]worksheet!#REF!</definedName>
    <definedName name="H_value">[1]worksheet!#REF!</definedName>
    <definedName name="head_length">[1]windows!$B$18</definedName>
    <definedName name="heat_pump_space_heating_eff">[1]tables!$K$141</definedName>
    <definedName name="heating_type">[1]frontend!$C$48</definedName>
    <definedName name="HLP">[1]worksheet!$G$107</definedName>
    <definedName name="hot_water_energy_requirement">[1]worksheet!$G$113</definedName>
    <definedName name="hot_water_storage_volume">[1]worksheet!$G$121</definedName>
    <definedName name="internal_floor_depth">[1]tables!$C$768</definedName>
    <definedName name="interzone_dT">[1]worksheet!$G$217</definedName>
    <definedName name="jamb_length">[1]windows!$B$19</definedName>
    <definedName name="LE_bulb_number" localSheetId="2">[1]frontend!#REF!</definedName>
    <definedName name="LE_bulb_number" localSheetId="5">[1]frontend!#REF!</definedName>
    <definedName name="LE_bulb_number" localSheetId="11">[1]frontend!#REF!</definedName>
    <definedName name="LE_bulb_number">[1]frontend!#REF!</definedName>
    <definedName name="lighting_cost">[1]worksheet!$G$303</definedName>
    <definedName name="lighting_energy">[1]worksheet!$G$389</definedName>
    <definedName name="lights_appliance_factor">[1]tables!$K$792</definedName>
    <definedName name="living_area_fraction">[1]frontend!$C$56</definedName>
    <definedName name="lpg_price">[1]tables!$H$600</definedName>
    <definedName name="main_system_fuel_price">[1]worksheet!$E$281</definedName>
    <definedName name="micro_wind_energy">[1]worksheet!$G$404</definedName>
    <definedName name="MVHR_eff">[1]tables!$H$698</definedName>
    <definedName name="N">[1]worksheet!$D$113</definedName>
    <definedName name="N_doors">[1]windows!$B$16</definedName>
    <definedName name="N_windows">[1]windows!$B$15</definedName>
    <definedName name="no_turbines">[1]frontend!$C$71</definedName>
    <definedName name="off_peak_dhw_fraction">[1]worksheet!$D$291</definedName>
    <definedName name="off_peak_el_price">[1]tables!$H$616</definedName>
    <definedName name="offpeak_DHW">[1]worksheet!$C$286</definedName>
    <definedName name="oil_price">[1]tables!$H$603</definedName>
    <definedName name="OLE_LINK8" localSheetId="9">'Table 2a'!#REF!</definedName>
    <definedName name="on_peak_dhw_fraction">[1]worksheet!$D$290</definedName>
    <definedName name="on_peak_el_price">[1]tables!$H$615</definedName>
    <definedName name="orientation">[1]frontend!$B$16</definedName>
    <definedName name="output_detail">'[1]drop down menus'!$B$42</definedName>
    <definedName name="party_floor_depth">[1]tables!$C$769</definedName>
    <definedName name="photovoltaic_energy">[1]worksheet!$G$398</definedName>
    <definedName name="primary_circuit">[1]tables!$K$788</definedName>
    <definedName name="primary_fuel">[1]frontend!$C$49</definedName>
    <definedName name="primary_heat_source">[1]frontend!$C$51</definedName>
    <definedName name="PV_beta">[1]worksheet!$G$399</definedName>
    <definedName name="PV_cost">[1]worksheet!$G$305</definedName>
    <definedName name="PV_el_price">[1]worksheet!$F$305</definedName>
    <definedName name="PV_kWp">[1]frontend!$C$67</definedName>
    <definedName name="Q_50">[1]frontend!$C$44</definedName>
    <definedName name="Qhw">[1]frontend!$I$78</definedName>
    <definedName name="Qsp">[1]frontend!$I$77</definedName>
    <definedName name="reduction">[1]tables!$E$846</definedName>
    <definedName name="renewable_cost">[1]worksheet!$G$309</definedName>
    <definedName name="Renewable_energy">[1]frontend!$C$83</definedName>
    <definedName name="renewable_savings_cost">[1]worksheet!$G$307</definedName>
    <definedName name="Renewables_consumed_energy">[1]frontend!$C$84</definedName>
    <definedName name="resistance_heat_fraction">[1]worksheet!$G$262</definedName>
    <definedName name="robust_details_K1">'[1]thermal bridging'!$H$21</definedName>
    <definedName name="room_height">[1]frontend!$B$10</definedName>
    <definedName name="rotor_diameter">[1]frontend!$C$72</definedName>
    <definedName name="second_space_heat_eff">[1]frontend!$C$54</definedName>
    <definedName name="secondary_fraction">[1]worksheet!$G$244</definedName>
    <definedName name="secondary_fuel">[1]frontend!$C$50</definedName>
    <definedName name="secondary_system_fuel_price">[1]worksheet!$E$282</definedName>
    <definedName name="shelter_factor">[1]worksheet!$G$63</definedName>
    <definedName name="sides_sheltered">[1]worksheet!$G$60</definedName>
    <definedName name="solar_access_factor">[1]tables!$E$491</definedName>
    <definedName name="solar_collector_type">[1]frontend!$C$60</definedName>
    <definedName name="solar_cylinder_volume_factor" localSheetId="2">[1]worksheet!#REF!</definedName>
    <definedName name="solar_cylinder_volume_factor" localSheetId="5">[1]worksheet!#REF!</definedName>
    <definedName name="solar_cylinder_volume_factor" localSheetId="11">[1]worksheet!#REF!</definedName>
    <definedName name="solar_cylinder_volume_factor">[1]worksheet!#REF!</definedName>
    <definedName name="solar_dhw">[1]worksheet!$E$163</definedName>
    <definedName name="solar_energy_available" localSheetId="2">[1]worksheet!#REF!</definedName>
    <definedName name="solar_energy_available" localSheetId="5">[1]worksheet!#REF!</definedName>
    <definedName name="solar_energy_available" localSheetId="11">[1]worksheet!#REF!</definedName>
    <definedName name="solar_energy_available">[1]worksheet!#REF!</definedName>
    <definedName name="solar_gains">[1]worksheet!$G$190</definedName>
    <definedName name="solar_gains_summer">[1]worksheet!$K$190</definedName>
    <definedName name="solar_hot_water_UF" localSheetId="2">[1]worksheet!#REF!</definedName>
    <definedName name="solar_hot_water_UF" localSheetId="5">[1]worksheet!#REF!</definedName>
    <definedName name="solar_hot_water_UF" localSheetId="11">[1]worksheet!#REF!</definedName>
    <definedName name="solar_hot_water_UF">[1]worksheet!#REF!</definedName>
    <definedName name="solar_panel_area">[1]frontend!$C$58</definedName>
    <definedName name="solar_panel_orientation">[1]frontend!$C$61</definedName>
    <definedName name="solar_panel_tilt">[1]frontend!$C$62</definedName>
    <definedName name="solar_storage">[1]worksheet!$C$133</definedName>
    <definedName name="solar_storage_volume">[1]frontend!$C$59</definedName>
    <definedName name="solar_tank_loss_factor" localSheetId="2">[1]worksheet!#REF!</definedName>
    <definedName name="solar_tank_loss_factor" localSheetId="5">[1]worksheet!#REF!</definedName>
    <definedName name="solar_tank_loss_factor" localSheetId="11">[1]worksheet!#REF!</definedName>
    <definedName name="solar_tank_loss_factor">[1]worksheet!#REF!</definedName>
    <definedName name="solar_tank_volume">[1]worksheet!$E$152</definedName>
    <definedName name="space_heat_cost_main">[1]worksheet!$G$281</definedName>
    <definedName name="space_heat_cost_secondary">[1]worksheet!$G$282</definedName>
    <definedName name="space_heating_eff">[1]frontend!$C$52</definedName>
    <definedName name="space_heating_energy_main">[1]worksheet!$G$253</definedName>
    <definedName name="space_heating_energy_secondary">[1]worksheet!$G$254</definedName>
    <definedName name="standard">[1]frontend!$B$19</definedName>
    <definedName name="standing_charge">[1]worksheet!$G$311</definedName>
    <definedName name="storey_height">[1]frontend!$B$10</definedName>
    <definedName name="storeys">[1]frontend!$B$6</definedName>
    <definedName name="summer_ach">[1]worksheet!$D$428</definedName>
    <definedName name="summer_solar_access_factor">[1]tables!$F$491</definedName>
    <definedName name="T_cooling">[1]worksheet!$G$424</definedName>
    <definedName name="Table_10">[1]tables!$A$539:$B$578</definedName>
    <definedName name="Table_13">[1]tables!$A$669:$B$688</definedName>
    <definedName name="Table_14" localSheetId="2">[1]tables!#REF!</definedName>
    <definedName name="Table_14" localSheetId="5">[1]tables!#REF!</definedName>
    <definedName name="Table_14" localSheetId="11">[1]tables!#REF!</definedName>
    <definedName name="Table_14">[1]tables!#REF!</definedName>
    <definedName name="Table_17">[1]tables!$D$697:$G$700</definedName>
    <definedName name="Table_7" localSheetId="2">[1]tables!#REF!</definedName>
    <definedName name="Table_7" localSheetId="5">[1]tables!#REF!</definedName>
    <definedName name="Table_7" localSheetId="11">[1]tables!#REF!</definedName>
    <definedName name="Table_7">[1]tables!#REF!</definedName>
    <definedName name="Table_8">[1]tables!$A$502:$F$513</definedName>
    <definedName name="Table_9">[1]tables!$A$522:$D$533</definedName>
    <definedName name="target">[1]frontend!$B$18</definedName>
    <definedName name="TB_method">[1]frontend!$B$21</definedName>
    <definedName name="Tbase">[1]worksheet!$G$231</definedName>
    <definedName name="Tcc">[1]frontend!$M$4</definedName>
    <definedName name="TCER">[1]tables!$D$842</definedName>
    <definedName name="temperature_factor">[1]worksheet!$G$130</definedName>
    <definedName name="terrace_level">[1]frontend!$B$7</definedName>
    <definedName name="terrain">[1]frontend!$C$74</definedName>
    <definedName name="terrain_list">'[1]drop down menus'!$E$33:$E$35</definedName>
    <definedName name="Tin">'[1]heat loads'!$C$7</definedName>
    <definedName name="total_carbon_plus_lighting">[1]worksheet!$G$351</definedName>
    <definedName name="total_gains">[1]worksheet!$G$192</definedName>
    <definedName name="total_heating_cost">[1]worksheet!$G$313</definedName>
    <definedName name="total_internal_gain">[1]worksheet!$G$173</definedName>
    <definedName name="Tout">'[1]heat loads'!$C$8</definedName>
    <definedName name="turbin_hub_height">[1]frontend!$C$73</definedName>
    <definedName name="Umean" localSheetId="2">[1]frontend!#REF!</definedName>
    <definedName name="Umean" localSheetId="5">[1]frontend!#REF!</definedName>
    <definedName name="Umean" localSheetId="11">[1]frontend!#REF!</definedName>
    <definedName name="Umean">[1]frontend!#REF!</definedName>
    <definedName name="useful_dhw_energy">[1]worksheet!$G$138</definedName>
    <definedName name="useful_gains">[1]worksheet!$G$198</definedName>
    <definedName name="useful_space_heat">[1]worksheet!$G$239</definedName>
    <definedName name="Utarget" localSheetId="2">[1]frontend!#REF!</definedName>
    <definedName name="Utarget" localSheetId="5">[1]frontend!#REF!</definedName>
    <definedName name="Utarget" localSheetId="11">[1]frontend!#REF!</definedName>
    <definedName name="Utarget">[1]frontend!#REF!</definedName>
    <definedName name="utilisation_factor">[1]worksheet!$G$196</definedName>
    <definedName name="Uwall">[1]frontend!$B$26</definedName>
    <definedName name="Uwindow">[1]frontend!$B$29</definedName>
    <definedName name="vent_type_list" localSheetId="2">'[1]drop down menus'!#REF!</definedName>
    <definedName name="vent_type_list" localSheetId="5">'[1]drop down menus'!#REF!</definedName>
    <definedName name="vent_type_list" localSheetId="11">'[1]drop down menus'!#REF!</definedName>
    <definedName name="vent_type_list">'[1]drop down menus'!#REF!</definedName>
    <definedName name="ventilation_performance">[1]frontend!$C$41</definedName>
    <definedName name="ventilation_sfp">[1]tables!$H$699</definedName>
    <definedName name="ventilation_type">[1]frontend!$C$40</definedName>
    <definedName name="volume">[1]frontend!$C$38</definedName>
    <definedName name="Volume_factor">[1]worksheet!$G$129</definedName>
    <definedName name="water_heat_cost">[1]worksheet!$G$299</definedName>
    <definedName name="water_heating_eff">[1]frontend!$C$53</definedName>
    <definedName name="water_heating_type">[1]tables!$D$806</definedName>
    <definedName name="width">[1]frontend!$B$12</definedName>
    <definedName name="width_depth" localSheetId="2">[1]frontend!#REF!</definedName>
    <definedName name="width_depth" localSheetId="5">[1]frontend!#REF!</definedName>
    <definedName name="width_depth" localSheetId="11">[1]frontend!#REF!</definedName>
    <definedName name="width_depth">[1]frontend!#REF!</definedName>
    <definedName name="window_height">[1]windows!$B$4</definedName>
    <definedName name="window_width">[1]windows!$B$3</definedName>
    <definedName name="WSF" localSheetId="2">[1]tables!#REF!</definedName>
    <definedName name="WSF" localSheetId="5">[1]tables!#REF!</definedName>
    <definedName name="WSF" localSheetId="11">[1]tables!#REF!</definedName>
    <definedName name="WSF">[1]tables!#REF!</definedName>
  </definedNames>
  <calcPr calcId="145621"/>
</workbook>
</file>

<file path=xl/calcChain.xml><?xml version="1.0" encoding="utf-8"?>
<calcChain xmlns="http://schemas.openxmlformats.org/spreadsheetml/2006/main">
  <c r="B23" i="30" l="1"/>
  <c r="F27" i="30"/>
  <c r="A117" i="30" l="1"/>
  <c r="A112" i="30"/>
  <c r="E38" i="17" l="1"/>
  <c r="E39" i="17"/>
  <c r="E31" i="17"/>
  <c r="F67" i="30" l="1"/>
  <c r="D18" i="30"/>
  <c r="D17" i="12" l="1"/>
  <c r="C17" i="12"/>
  <c r="F4" i="30" l="1"/>
  <c r="F5" i="30"/>
  <c r="D5" i="30"/>
  <c r="D4" i="30"/>
  <c r="F9" i="42"/>
  <c r="F56" i="42" l="1"/>
  <c r="C83" i="17"/>
  <c r="F54" i="42" s="1"/>
  <c r="C5" i="17"/>
  <c r="C8" i="17"/>
  <c r="C67" i="17" l="1"/>
  <c r="F32" i="42" s="1"/>
  <c r="C66" i="17"/>
  <c r="F36" i="42" s="1"/>
  <c r="E64" i="17"/>
  <c r="E65" i="17"/>
  <c r="E66" i="17" l="1"/>
  <c r="F55" i="42"/>
  <c r="F47" i="42"/>
  <c r="F46" i="42"/>
  <c r="F45" i="42"/>
  <c r="F44" i="42"/>
  <c r="F51" i="42"/>
  <c r="F50" i="42"/>
  <c r="F49" i="42"/>
  <c r="F48" i="42"/>
  <c r="F31" i="43" l="1"/>
  <c r="D30" i="43"/>
  <c r="F30" i="43"/>
  <c r="F28" i="43"/>
  <c r="F27" i="43"/>
  <c r="D27" i="43"/>
  <c r="C27" i="43"/>
  <c r="D25" i="43"/>
  <c r="C25" i="43"/>
  <c r="F25" i="43"/>
  <c r="F3" i="43"/>
  <c r="F4" i="43"/>
  <c r="F24" i="43"/>
  <c r="F26" i="43"/>
  <c r="F21" i="43"/>
  <c r="F22" i="43"/>
  <c r="D24" i="43" l="1"/>
  <c r="C24" i="43"/>
  <c r="D19" i="43"/>
  <c r="D15" i="43"/>
  <c r="D18" i="43"/>
  <c r="F15" i="43"/>
  <c r="C9" i="43"/>
  <c r="C112" i="17"/>
  <c r="C8" i="43"/>
  <c r="D7" i="43"/>
  <c r="C7" i="43"/>
  <c r="E3" i="43"/>
  <c r="E4" i="43"/>
  <c r="E2" i="43"/>
  <c r="C13" i="17"/>
  <c r="C12" i="17"/>
  <c r="J12" i="17" s="1"/>
  <c r="L12" i="17"/>
  <c r="K12" i="17"/>
  <c r="L13" i="17"/>
  <c r="K13" i="17"/>
  <c r="I13" i="17"/>
  <c r="D4" i="43"/>
  <c r="J5" i="17"/>
  <c r="L5" i="17"/>
  <c r="K5" i="17"/>
  <c r="L8" i="17"/>
  <c r="K8" i="17"/>
  <c r="J8" i="17"/>
  <c r="I8" i="17"/>
  <c r="F40" i="42"/>
  <c r="F39" i="42"/>
  <c r="F38" i="42"/>
  <c r="F37" i="42"/>
  <c r="F35" i="42"/>
  <c r="F34" i="42"/>
  <c r="F33" i="42"/>
  <c r="F31" i="42"/>
  <c r="F28" i="42"/>
  <c r="F27" i="42"/>
  <c r="F26" i="42"/>
  <c r="F25" i="42"/>
  <c r="F24" i="42"/>
  <c r="F23" i="42"/>
  <c r="F22" i="42"/>
  <c r="F21" i="42"/>
  <c r="F20" i="42"/>
  <c r="F19" i="42"/>
  <c r="F18" i="42"/>
  <c r="F17" i="42"/>
  <c r="F16" i="42"/>
  <c r="F13" i="42"/>
  <c r="F12" i="42"/>
  <c r="F11" i="42"/>
  <c r="F10" i="42"/>
  <c r="F8" i="42"/>
  <c r="F7" i="42"/>
  <c r="F6" i="42"/>
  <c r="F5" i="42"/>
  <c r="F4" i="42"/>
  <c r="I12" i="17" l="1"/>
  <c r="J13" i="17"/>
  <c r="D3" i="43"/>
  <c r="I5" i="17"/>
  <c r="M13" i="17"/>
  <c r="M12" i="17"/>
  <c r="O12" i="17" s="1"/>
  <c r="N13" i="17"/>
  <c r="P13" i="17" s="1"/>
  <c r="N12" i="17"/>
  <c r="P12" i="17" s="1"/>
  <c r="O13" i="17"/>
  <c r="N8" i="17"/>
  <c r="P8" i="17" s="1"/>
  <c r="M8" i="17"/>
  <c r="O8" i="17" s="1"/>
  <c r="N5" i="17"/>
  <c r="P5" i="17" s="1"/>
  <c r="M5" i="17"/>
  <c r="O5" i="17" s="1"/>
  <c r="E45" i="17"/>
  <c r="I4" i="17" l="1"/>
  <c r="J4" i="17"/>
  <c r="K4" i="17"/>
  <c r="L4" i="17"/>
  <c r="N4" i="17" s="1"/>
  <c r="I11" i="17"/>
  <c r="J11" i="17"/>
  <c r="K11" i="17"/>
  <c r="L11" i="17"/>
  <c r="N11" i="17" s="1"/>
  <c r="C223" i="17"/>
  <c r="C222" i="17"/>
  <c r="J223" i="17"/>
  <c r="J222" i="17"/>
  <c r="E93" i="17"/>
  <c r="E91" i="17"/>
  <c r="E92" i="17"/>
  <c r="E76" i="17"/>
  <c r="E74" i="17"/>
  <c r="E63" i="17"/>
  <c r="E67" i="17" s="1"/>
  <c r="E61" i="17"/>
  <c r="E49" i="17"/>
  <c r="E47" i="17"/>
  <c r="E18" i="17"/>
  <c r="E36" i="17"/>
  <c r="E35" i="17"/>
  <c r="E40" i="17"/>
  <c r="E37" i="17"/>
  <c r="E27" i="17"/>
  <c r="E28" i="17"/>
  <c r="E30" i="17"/>
  <c r="D21" i="30"/>
  <c r="H3" i="17" l="1"/>
  <c r="M11" i="17"/>
  <c r="O11" i="17" s="1"/>
  <c r="E68" i="17"/>
  <c r="H10" i="17"/>
  <c r="P4" i="17"/>
  <c r="M4" i="17"/>
  <c r="O4" i="17" s="1"/>
  <c r="P11" i="17"/>
  <c r="E29" i="17"/>
  <c r="E34" i="17"/>
  <c r="H61" i="30" l="1"/>
  <c r="J64" i="30"/>
  <c r="J65" i="30"/>
  <c r="D37" i="43" l="1"/>
  <c r="D38" i="43"/>
  <c r="D36" i="43"/>
  <c r="C37" i="43"/>
  <c r="F37" i="43"/>
  <c r="C38" i="43"/>
  <c r="F38" i="43"/>
  <c r="F36" i="43"/>
  <c r="C36" i="43"/>
  <c r="C34" i="43" l="1"/>
  <c r="D34" i="43"/>
  <c r="F34" i="43"/>
  <c r="C35" i="43"/>
  <c r="F35" i="43"/>
  <c r="C32" i="43"/>
  <c r="D32" i="43"/>
  <c r="F32" i="43"/>
  <c r="C33" i="43"/>
  <c r="D33" i="43"/>
  <c r="F33" i="43"/>
  <c r="C31" i="43"/>
  <c r="D31" i="43"/>
  <c r="C30" i="43"/>
  <c r="C26" i="43"/>
  <c r="D26" i="43"/>
  <c r="D29" i="43"/>
  <c r="D28" i="43"/>
  <c r="F29" i="43"/>
  <c r="C29" i="43"/>
  <c r="C28" i="43"/>
  <c r="F20" i="43"/>
  <c r="F19" i="43"/>
  <c r="F18" i="43"/>
  <c r="F17" i="43"/>
  <c r="D17" i="43"/>
  <c r="C17" i="43"/>
  <c r="D16" i="43"/>
  <c r="D14" i="43"/>
  <c r="D12" i="43"/>
  <c r="D11" i="43"/>
  <c r="C16" i="43"/>
  <c r="C14" i="43"/>
  <c r="F12" i="43"/>
  <c r="F11" i="43"/>
  <c r="F9" i="43"/>
  <c r="E9" i="43"/>
  <c r="E7" i="43"/>
  <c r="F7" i="43"/>
  <c r="E8" i="43"/>
  <c r="F8" i="43"/>
  <c r="F6" i="43"/>
  <c r="E6" i="43"/>
  <c r="C6" i="43"/>
  <c r="D7" i="30"/>
  <c r="D5" i="43"/>
  <c r="D2" i="43"/>
  <c r="C119" i="17"/>
  <c r="F10" i="43"/>
  <c r="F5" i="43"/>
  <c r="E5" i="43"/>
  <c r="F2" i="43"/>
  <c r="C103" i="17"/>
  <c r="C101" i="17"/>
  <c r="C99" i="17"/>
  <c r="C105" i="17"/>
  <c r="C107" i="17"/>
  <c r="C120" i="17"/>
  <c r="C118" i="17"/>
  <c r="C122" i="17"/>
  <c r="C114" i="17"/>
  <c r="C116" i="17"/>
  <c r="E5" i="30"/>
  <c r="E4" i="30"/>
  <c r="B5" i="30"/>
  <c r="B4" i="30"/>
  <c r="A3" i="17"/>
  <c r="C222" i="30"/>
  <c r="C219" i="30"/>
  <c r="E90" i="17"/>
  <c r="C12" i="26" l="1"/>
  <c r="C25" i="26"/>
  <c r="E69" i="17"/>
  <c r="B22" i="30" l="1"/>
  <c r="B21" i="30"/>
  <c r="E55" i="17"/>
  <c r="E54" i="17" s="1"/>
  <c r="C22" i="26" l="1"/>
  <c r="C18" i="26"/>
  <c r="E25" i="17" l="1"/>
  <c r="A5" i="30"/>
  <c r="F28" i="30"/>
  <c r="D28" i="30"/>
  <c r="B28" i="30"/>
  <c r="D12" i="30"/>
  <c r="A7" i="30" l="1"/>
  <c r="A10" i="17"/>
  <c r="A8" i="30" l="1"/>
  <c r="A15" i="17"/>
  <c r="A9" i="30" l="1"/>
  <c r="A22" i="17"/>
  <c r="A10" i="30" l="1"/>
  <c r="A42" i="17"/>
  <c r="C220" i="30"/>
  <c r="A11" i="30" l="1"/>
  <c r="A51" i="17"/>
  <c r="C35" i="26"/>
  <c r="C20" i="26"/>
  <c r="C8" i="26"/>
  <c r="C27" i="26"/>
  <c r="C16" i="26"/>
  <c r="C3" i="26"/>
  <c r="C38" i="26"/>
  <c r="C36" i="26"/>
  <c r="C10" i="26"/>
  <c r="C33" i="26"/>
  <c r="C32" i="26"/>
  <c r="C30" i="26"/>
  <c r="C14" i="26"/>
  <c r="C5" i="26"/>
  <c r="I7" i="30"/>
  <c r="H7" i="30"/>
  <c r="F25" i="30"/>
  <c r="D25" i="30"/>
  <c r="B25" i="30"/>
  <c r="E8" i="30"/>
  <c r="H8" i="30"/>
  <c r="I8" i="30"/>
  <c r="F8" i="30"/>
  <c r="D8" i="30"/>
  <c r="B8" i="30"/>
  <c r="G8" i="30" l="1"/>
  <c r="A58" i="17"/>
  <c r="A12" i="30"/>
  <c r="G7" i="30"/>
  <c r="B16" i="30"/>
  <c r="A13" i="30" l="1"/>
  <c r="A71" i="17"/>
  <c r="C97" i="17"/>
  <c r="E16" i="30"/>
  <c r="F16" i="30"/>
  <c r="A14" i="30" l="1"/>
  <c r="A79" i="17"/>
  <c r="F19" i="30"/>
  <c r="E19" i="30"/>
  <c r="D19" i="30"/>
  <c r="F22" i="30"/>
  <c r="D22" i="30"/>
  <c r="F21" i="30"/>
  <c r="A88" i="17" l="1"/>
  <c r="A16" i="30"/>
  <c r="F173" i="30"/>
  <c r="F164" i="30"/>
  <c r="F104" i="30"/>
  <c r="A17" i="30" l="1"/>
  <c r="A95" i="17"/>
  <c r="C259" i="17"/>
  <c r="C260" i="17"/>
  <c r="C261" i="17"/>
  <c r="C258" i="17"/>
  <c r="F18" i="30"/>
  <c r="E18" i="30"/>
  <c r="Q40" i="26" l="1"/>
  <c r="S40" i="26"/>
  <c r="U40" i="26"/>
  <c r="W40" i="26"/>
  <c r="Y40" i="26"/>
  <c r="AA40" i="26"/>
  <c r="AC40" i="26"/>
  <c r="P40" i="26"/>
  <c r="R40" i="26"/>
  <c r="T40" i="26"/>
  <c r="V40" i="26"/>
  <c r="X40" i="26"/>
  <c r="Z40" i="26"/>
  <c r="AB40" i="26"/>
  <c r="AD40" i="26"/>
  <c r="S41" i="26"/>
  <c r="W41" i="26"/>
  <c r="AA41" i="26"/>
  <c r="P41" i="26"/>
  <c r="T41" i="26"/>
  <c r="X41" i="26"/>
  <c r="AB41" i="26"/>
  <c r="Q41" i="26"/>
  <c r="U41" i="26"/>
  <c r="Y41" i="26"/>
  <c r="AC41" i="26"/>
  <c r="R41" i="26"/>
  <c r="V41" i="26"/>
  <c r="Z41" i="26"/>
  <c r="AD41" i="26"/>
  <c r="G40" i="26"/>
  <c r="I40" i="26"/>
  <c r="K40" i="26"/>
  <c r="M40" i="26"/>
  <c r="O40" i="26"/>
  <c r="G41" i="26"/>
  <c r="I41" i="26"/>
  <c r="K41" i="26"/>
  <c r="M41" i="26"/>
  <c r="O41" i="26"/>
  <c r="F41" i="26"/>
  <c r="H40" i="26"/>
  <c r="J40" i="26"/>
  <c r="L40" i="26"/>
  <c r="N40" i="26"/>
  <c r="H41" i="26"/>
  <c r="J41" i="26"/>
  <c r="L41" i="26"/>
  <c r="N41" i="26"/>
  <c r="F40" i="26"/>
  <c r="A18" i="30"/>
  <c r="A110" i="17"/>
  <c r="D13" i="30"/>
  <c r="I10" i="30"/>
  <c r="H10" i="30"/>
  <c r="F10" i="30"/>
  <c r="E10" i="30"/>
  <c r="G10" i="30"/>
  <c r="D10" i="30"/>
  <c r="B10" i="30"/>
  <c r="E9" i="30"/>
  <c r="I9" i="30"/>
  <c r="H9" i="30"/>
  <c r="F9" i="30"/>
  <c r="G9" i="30"/>
  <c r="D9" i="30"/>
  <c r="B9" i="30"/>
  <c r="F39" i="30"/>
  <c r="E23" i="30"/>
  <c r="F23" i="30"/>
  <c r="D23" i="30"/>
  <c r="L65" i="30" l="1"/>
  <c r="A140" i="17"/>
  <c r="A19" i="30"/>
  <c r="D39" i="30"/>
  <c r="D104" i="30"/>
  <c r="B37" i="30"/>
  <c r="B36" i="30"/>
  <c r="F32" i="30"/>
  <c r="E32" i="30"/>
  <c r="G32" i="30"/>
  <c r="D32" i="30"/>
  <c r="E31" i="30"/>
  <c r="D35" i="43"/>
  <c r="F34" i="30"/>
  <c r="G34" i="30"/>
  <c r="D34" i="30"/>
  <c r="E34" i="30"/>
  <c r="I12" i="30"/>
  <c r="H12" i="30"/>
  <c r="F12" i="30"/>
  <c r="E12" i="30"/>
  <c r="G12" i="30"/>
  <c r="H50" i="30" l="1"/>
  <c r="A21" i="30"/>
  <c r="A147" i="17"/>
  <c r="D164" i="30"/>
  <c r="B12" i="30"/>
  <c r="I14" i="30"/>
  <c r="H14" i="30"/>
  <c r="F14" i="30"/>
  <c r="D14" i="30"/>
  <c r="E14" i="30"/>
  <c r="B14" i="30"/>
  <c r="A158" i="17" l="1"/>
  <c r="A22" i="30"/>
  <c r="A23" i="30" s="1"/>
  <c r="D105" i="30"/>
  <c r="F29" i="30"/>
  <c r="D29" i="30"/>
  <c r="B29" i="30"/>
  <c r="F31" i="30"/>
  <c r="D31" i="30"/>
  <c r="F26" i="30"/>
  <c r="D26" i="30"/>
  <c r="B26" i="30"/>
  <c r="F17" i="30"/>
  <c r="E17" i="30"/>
  <c r="B17" i="30"/>
  <c r="F37" i="30"/>
  <c r="E37" i="30"/>
  <c r="F36" i="30"/>
  <c r="E36" i="30"/>
  <c r="I13" i="30"/>
  <c r="F13" i="30"/>
  <c r="E13" i="30"/>
  <c r="B13" i="30"/>
  <c r="I11" i="30"/>
  <c r="H11" i="30"/>
  <c r="D64" i="30" s="1"/>
  <c r="F11" i="30"/>
  <c r="E11" i="30"/>
  <c r="D11" i="30"/>
  <c r="D40" i="30" s="1"/>
  <c r="B11" i="30"/>
  <c r="F7" i="30"/>
  <c r="E7" i="30"/>
  <c r="B7" i="30"/>
  <c r="B2" i="30"/>
  <c r="E81" i="17"/>
  <c r="D44" i="30" l="1"/>
  <c r="D42" i="30"/>
  <c r="D43" i="30"/>
  <c r="D50" i="30"/>
  <c r="H44" i="30"/>
  <c r="H42" i="30"/>
  <c r="H43" i="30"/>
  <c r="D111" i="30"/>
  <c r="D106" i="30"/>
  <c r="D107" i="30"/>
  <c r="D66" i="30"/>
  <c r="H13" i="30"/>
  <c r="D126" i="30" s="1"/>
  <c r="D128" i="30" s="1"/>
  <c r="T33" i="26" s="1"/>
  <c r="T20" i="26" s="1"/>
  <c r="E83" i="17"/>
  <c r="G34" i="26"/>
  <c r="G21" i="26" s="1"/>
  <c r="A165" i="17"/>
  <c r="D108" i="30"/>
  <c r="G11" i="30"/>
  <c r="C283" i="17"/>
  <c r="AL30" i="26" l="1"/>
  <c r="B3" i="119"/>
  <c r="B2" i="119"/>
  <c r="D69" i="30"/>
  <c r="D48" i="30"/>
  <c r="H47" i="30"/>
  <c r="H48" i="30"/>
  <c r="D46" i="30"/>
  <c r="D47" i="30"/>
  <c r="D52" i="30" s="1"/>
  <c r="H46" i="30"/>
  <c r="O33" i="26"/>
  <c r="M33" i="26"/>
  <c r="H33" i="26"/>
  <c r="AD34" i="26"/>
  <c r="AD21" i="26" s="1"/>
  <c r="U33" i="26"/>
  <c r="U20" i="26" s="1"/>
  <c r="D131" i="30"/>
  <c r="D158" i="30" s="1"/>
  <c r="G33" i="26"/>
  <c r="L34" i="26"/>
  <c r="L21" i="26" s="1"/>
  <c r="O34" i="26"/>
  <c r="O21" i="26" s="1"/>
  <c r="J34" i="26"/>
  <c r="J21" i="26" s="1"/>
  <c r="I34" i="26"/>
  <c r="I21" i="26" s="1"/>
  <c r="AA34" i="26"/>
  <c r="AA21" i="26" s="1"/>
  <c r="AC34" i="26"/>
  <c r="AC21" i="26" s="1"/>
  <c r="Q31" i="26"/>
  <c r="H63" i="30"/>
  <c r="D68" i="30"/>
  <c r="F31" i="26"/>
  <c r="F17" i="26" s="1"/>
  <c r="AH30" i="26"/>
  <c r="AR31" i="26"/>
  <c r="AR37" i="26" s="1"/>
  <c r="AR26" i="26" s="1"/>
  <c r="G30" i="26"/>
  <c r="R31" i="26"/>
  <c r="AC30" i="26"/>
  <c r="BC30" i="26"/>
  <c r="N30" i="26"/>
  <c r="H30" i="26"/>
  <c r="H64" i="30"/>
  <c r="U31" i="26"/>
  <c r="U37" i="26" s="1"/>
  <c r="U26" i="26" s="1"/>
  <c r="AB30" i="26"/>
  <c r="BX31" i="26"/>
  <c r="BX37" i="26" s="1"/>
  <c r="BX26" i="26" s="1"/>
  <c r="CI30" i="26"/>
  <c r="CA31" i="26"/>
  <c r="CN31" i="26"/>
  <c r="BH31" i="26"/>
  <c r="BH37" i="26" s="1"/>
  <c r="BH26" i="26" s="1"/>
  <c r="CY30" i="26"/>
  <c r="BS30" i="26"/>
  <c r="CQ31" i="26"/>
  <c r="BK31" i="26"/>
  <c r="BK37" i="26" s="1"/>
  <c r="BK26" i="26" s="1"/>
  <c r="X34" i="26"/>
  <c r="X21" i="26" s="1"/>
  <c r="AC33" i="26"/>
  <c r="AC20" i="26" s="1"/>
  <c r="V33" i="26"/>
  <c r="V20" i="26" s="1"/>
  <c r="AD33" i="26"/>
  <c r="AD20" i="26" s="1"/>
  <c r="R34" i="26"/>
  <c r="R21" i="26" s="1"/>
  <c r="D180" i="30"/>
  <c r="D182" i="30" s="1"/>
  <c r="AC25" i="26" s="1"/>
  <c r="K33" i="26"/>
  <c r="H34" i="26"/>
  <c r="H21" i="26" s="1"/>
  <c r="N33" i="26"/>
  <c r="K34" i="26"/>
  <c r="K21" i="26" s="1"/>
  <c r="I33" i="26"/>
  <c r="F34" i="26"/>
  <c r="F21" i="26" s="1"/>
  <c r="N34" i="26"/>
  <c r="N21" i="26" s="1"/>
  <c r="L33" i="26"/>
  <c r="M34" i="26"/>
  <c r="M21" i="26" s="1"/>
  <c r="R37" i="26"/>
  <c r="V34" i="26"/>
  <c r="V21" i="26" s="1"/>
  <c r="S34" i="26"/>
  <c r="S21" i="26" s="1"/>
  <c r="P34" i="26"/>
  <c r="P21" i="26" s="1"/>
  <c r="U34" i="26"/>
  <c r="U21" i="26" s="1"/>
  <c r="Y33" i="26"/>
  <c r="Y20" i="26" s="1"/>
  <c r="P33" i="26"/>
  <c r="P20" i="26" s="1"/>
  <c r="Z33" i="26"/>
  <c r="Z20" i="26" s="1"/>
  <c r="R33" i="26"/>
  <c r="R20" i="26" s="1"/>
  <c r="T34" i="26"/>
  <c r="T21" i="26" s="1"/>
  <c r="Z34" i="26"/>
  <c r="Z21" i="26" s="1"/>
  <c r="W34" i="26"/>
  <c r="W21" i="26" s="1"/>
  <c r="Q34" i="26"/>
  <c r="Q21" i="26" s="1"/>
  <c r="AC36" i="26"/>
  <c r="AB34" i="26"/>
  <c r="AB21" i="26" s="1"/>
  <c r="Y34" i="26"/>
  <c r="Y21" i="26" s="1"/>
  <c r="W33" i="26"/>
  <c r="W20" i="26" s="1"/>
  <c r="AA33" i="26"/>
  <c r="AA20" i="26" s="1"/>
  <c r="S33" i="26"/>
  <c r="S20" i="26" s="1"/>
  <c r="D112" i="30"/>
  <c r="Q33" i="26"/>
  <c r="Q20" i="26" s="1"/>
  <c r="CD30" i="26"/>
  <c r="I30" i="26"/>
  <c r="N31" i="26"/>
  <c r="K31" i="26"/>
  <c r="K17" i="26" s="1"/>
  <c r="H31" i="26"/>
  <c r="I31" i="26"/>
  <c r="Z31" i="26"/>
  <c r="Z37" i="26" s="1"/>
  <c r="AC31" i="26"/>
  <c r="AC17" i="26" s="1"/>
  <c r="X31" i="26"/>
  <c r="X37" i="26" s="1"/>
  <c r="S31" i="26"/>
  <c r="S17" i="26" s="1"/>
  <c r="T30" i="26"/>
  <c r="T16" i="26" s="1"/>
  <c r="U30" i="26"/>
  <c r="U36" i="26" s="1"/>
  <c r="CV31" i="26"/>
  <c r="CF31" i="26"/>
  <c r="BP31" i="26"/>
  <c r="AZ31" i="26"/>
  <c r="AJ31" i="26"/>
  <c r="CQ30" i="26"/>
  <c r="CA30" i="26"/>
  <c r="BK30" i="26"/>
  <c r="CY31" i="26"/>
  <c r="CI31" i="26"/>
  <c r="BS31" i="26"/>
  <c r="AM31" i="26"/>
  <c r="AX30" i="26"/>
  <c r="BC31" i="26"/>
  <c r="CT30" i="26"/>
  <c r="BN30" i="26"/>
  <c r="AI30" i="26"/>
  <c r="AU31" i="26"/>
  <c r="AE31" i="26"/>
  <c r="CL30" i="26"/>
  <c r="BV30" i="26"/>
  <c r="BF30" i="26"/>
  <c r="AQ30" i="26"/>
  <c r="AT30" i="26"/>
  <c r="X33" i="26"/>
  <c r="X20" i="26" s="1"/>
  <c r="AB33" i="26"/>
  <c r="AB20" i="26" s="1"/>
  <c r="T36" i="26"/>
  <c r="T25" i="26" s="1"/>
  <c r="J33" i="26"/>
  <c r="CX34" i="26"/>
  <c r="F30" i="26"/>
  <c r="M30" i="26"/>
  <c r="J31" i="26"/>
  <c r="J30" i="26"/>
  <c r="G31" i="26"/>
  <c r="O31" i="26"/>
  <c r="K30" i="26"/>
  <c r="L31" i="26"/>
  <c r="L30" i="26"/>
  <c r="M31" i="26"/>
  <c r="AD31" i="26"/>
  <c r="AD37" i="26" s="1"/>
  <c r="V31" i="26"/>
  <c r="V37" i="26" s="1"/>
  <c r="P31" i="26"/>
  <c r="Y31" i="26"/>
  <c r="Y37" i="26" s="1"/>
  <c r="AB31" i="26"/>
  <c r="AB17" i="26" s="1"/>
  <c r="T31" i="26"/>
  <c r="T37" i="26" s="1"/>
  <c r="AA31" i="26"/>
  <c r="AA37" i="26" s="1"/>
  <c r="P30" i="26"/>
  <c r="P16" i="26" s="1"/>
  <c r="X30" i="26"/>
  <c r="X16" i="26" s="1"/>
  <c r="O30" i="26"/>
  <c r="Y30" i="26"/>
  <c r="Y16" i="26" s="1"/>
  <c r="CZ31" i="26"/>
  <c r="CR31" i="26"/>
  <c r="CJ31" i="26"/>
  <c r="CB31" i="26"/>
  <c r="BT31" i="26"/>
  <c r="BL31" i="26"/>
  <c r="BD31" i="26"/>
  <c r="AV31" i="26"/>
  <c r="AN31" i="26"/>
  <c r="AF31" i="26"/>
  <c r="CU30" i="26"/>
  <c r="CM30" i="26"/>
  <c r="CE30" i="26"/>
  <c r="CE36" i="26" s="1"/>
  <c r="CE25" i="26" s="1"/>
  <c r="BW30" i="26"/>
  <c r="BO30" i="26"/>
  <c r="BG30" i="26"/>
  <c r="AY30" i="26"/>
  <c r="CU31" i="26"/>
  <c r="CM31" i="26"/>
  <c r="CE31" i="26"/>
  <c r="BW31" i="26"/>
  <c r="BO31" i="26"/>
  <c r="BG31" i="26"/>
  <c r="AY31" i="26"/>
  <c r="AQ31" i="26"/>
  <c r="AI31" i="26"/>
  <c r="CX30" i="26"/>
  <c r="CX36" i="26" s="1"/>
  <c r="CX25" i="26" s="1"/>
  <c r="CP30" i="26"/>
  <c r="CH30" i="26"/>
  <c r="BZ30" i="26"/>
  <c r="BR30" i="26"/>
  <c r="BJ30" i="26"/>
  <c r="BB30" i="26"/>
  <c r="AU30" i="26"/>
  <c r="AM30" i="26"/>
  <c r="AE30" i="26"/>
  <c r="AP30" i="26"/>
  <c r="CR34" i="26"/>
  <c r="CZ34" i="26"/>
  <c r="CV34" i="26"/>
  <c r="CN34" i="26"/>
  <c r="CT34" i="26"/>
  <c r="CP34" i="26"/>
  <c r="BV34" i="26"/>
  <c r="CJ34" i="26"/>
  <c r="BF34" i="26"/>
  <c r="CL34" i="26"/>
  <c r="CD34" i="26"/>
  <c r="BN34" i="26"/>
  <c r="AT34" i="26"/>
  <c r="D51" i="30"/>
  <c r="CH34" i="26"/>
  <c r="BZ34" i="26"/>
  <c r="BR34" i="26"/>
  <c r="BJ34" i="26"/>
  <c r="BB34" i="26"/>
  <c r="AL34" i="26"/>
  <c r="CF34" i="26"/>
  <c r="CB34" i="26"/>
  <c r="BX34" i="26"/>
  <c r="BT34" i="26"/>
  <c r="BP34" i="26"/>
  <c r="BL34" i="26"/>
  <c r="BH34" i="26"/>
  <c r="BD34" i="26"/>
  <c r="AX34" i="26"/>
  <c r="AP34" i="26"/>
  <c r="AH34" i="26"/>
  <c r="AF30" i="26"/>
  <c r="AJ30" i="26"/>
  <c r="AN30" i="26"/>
  <c r="AR30" i="26"/>
  <c r="AV30" i="26"/>
  <c r="AG30" i="26"/>
  <c r="AK30" i="26"/>
  <c r="AO30" i="26"/>
  <c r="AS30" i="26"/>
  <c r="AW30" i="26"/>
  <c r="AZ30" i="26"/>
  <c r="BD30" i="26"/>
  <c r="BH30" i="26"/>
  <c r="BL30" i="26"/>
  <c r="BP30" i="26"/>
  <c r="BT30" i="26"/>
  <c r="BX30" i="26"/>
  <c r="CB30" i="26"/>
  <c r="CF30" i="26"/>
  <c r="CJ30" i="26"/>
  <c r="CN30" i="26"/>
  <c r="CR30" i="26"/>
  <c r="CV30" i="26"/>
  <c r="CZ30" i="26"/>
  <c r="AG31" i="26"/>
  <c r="AK31" i="26"/>
  <c r="AO31" i="26"/>
  <c r="AS31" i="26"/>
  <c r="AW31" i="26"/>
  <c r="BA31" i="26"/>
  <c r="BE31" i="26"/>
  <c r="BI31" i="26"/>
  <c r="BM31" i="26"/>
  <c r="BQ31" i="26"/>
  <c r="BU31" i="26"/>
  <c r="BY31" i="26"/>
  <c r="CC31" i="26"/>
  <c r="CG31" i="26"/>
  <c r="CK31" i="26"/>
  <c r="CO31" i="26"/>
  <c r="CS31" i="26"/>
  <c r="CW31" i="26"/>
  <c r="DA31" i="26"/>
  <c r="BA30" i="26"/>
  <c r="BE30" i="26"/>
  <c r="BI30" i="26"/>
  <c r="BM30" i="26"/>
  <c r="BQ30" i="26"/>
  <c r="BU30" i="26"/>
  <c r="BY30" i="26"/>
  <c r="CC30" i="26"/>
  <c r="CG30" i="26"/>
  <c r="CK30" i="26"/>
  <c r="CO30" i="26"/>
  <c r="CS30" i="26"/>
  <c r="CW30" i="26"/>
  <c r="DA30" i="26"/>
  <c r="AH31" i="26"/>
  <c r="AH37" i="26" s="1"/>
  <c r="AL31" i="26"/>
  <c r="AL37" i="26" s="1"/>
  <c r="AL26" i="26" s="1"/>
  <c r="AP31" i="26"/>
  <c r="AT31" i="26"/>
  <c r="AT37" i="26" s="1"/>
  <c r="AT26" i="26" s="1"/>
  <c r="AX31" i="26"/>
  <c r="AX37" i="26" s="1"/>
  <c r="BB31" i="26"/>
  <c r="BB37" i="26" s="1"/>
  <c r="BB26" i="26" s="1"/>
  <c r="BF31" i="26"/>
  <c r="BF37" i="26" s="1"/>
  <c r="BJ31" i="26"/>
  <c r="BJ37" i="26" s="1"/>
  <c r="BJ26" i="26" s="1"/>
  <c r="BN31" i="26"/>
  <c r="BR31" i="26"/>
  <c r="BR37" i="26" s="1"/>
  <c r="BR26" i="26" s="1"/>
  <c r="BV31" i="26"/>
  <c r="BV37" i="26" s="1"/>
  <c r="BZ31" i="26"/>
  <c r="BZ37" i="26" s="1"/>
  <c r="BZ26" i="26" s="1"/>
  <c r="CD31" i="26"/>
  <c r="CD37" i="26" s="1"/>
  <c r="CH31" i="26"/>
  <c r="CH37" i="26" s="1"/>
  <c r="CH26" i="26" s="1"/>
  <c r="CL31" i="26"/>
  <c r="CP31" i="26"/>
  <c r="CP37" i="26" s="1"/>
  <c r="CP26" i="26" s="1"/>
  <c r="CT31" i="26"/>
  <c r="CX31" i="26"/>
  <c r="CX37" i="26" s="1"/>
  <c r="CX26" i="26" s="1"/>
  <c r="S30" i="26"/>
  <c r="S36" i="26" s="1"/>
  <c r="W30" i="26"/>
  <c r="W36" i="26" s="1"/>
  <c r="AA30" i="26"/>
  <c r="AA36" i="26" s="1"/>
  <c r="Q30" i="26"/>
  <c r="Q36" i="26" s="1"/>
  <c r="Q27" i="26" s="1"/>
  <c r="R30" i="26"/>
  <c r="R36" i="26" s="1"/>
  <c r="V30" i="26"/>
  <c r="V36" i="26" s="1"/>
  <c r="V25" i="26" s="1"/>
  <c r="Z30" i="26"/>
  <c r="Z36" i="26" s="1"/>
  <c r="AD30" i="26"/>
  <c r="AD16" i="26" s="1"/>
  <c r="AA16" i="26"/>
  <c r="W31" i="26"/>
  <c r="W17" i="26" s="1"/>
  <c r="AZ34" i="26"/>
  <c r="AV34" i="26"/>
  <c r="AR34" i="26"/>
  <c r="AN34" i="26"/>
  <c r="AJ34" i="26"/>
  <c r="AF34" i="26"/>
  <c r="DA33" i="26"/>
  <c r="CY33" i="26"/>
  <c r="CU33" i="26"/>
  <c r="CW33" i="26"/>
  <c r="CM33" i="26"/>
  <c r="CS33" i="26"/>
  <c r="CA33" i="26"/>
  <c r="CQ33" i="26"/>
  <c r="CI33" i="26"/>
  <c r="CQ34" i="26"/>
  <c r="CO33" i="26"/>
  <c r="CK33" i="26"/>
  <c r="CE33" i="26"/>
  <c r="DA34" i="26"/>
  <c r="CA34" i="26"/>
  <c r="BK34" i="26"/>
  <c r="AU34" i="26"/>
  <c r="BW33" i="26"/>
  <c r="CW34" i="26"/>
  <c r="CI34" i="26"/>
  <c r="BS34" i="26"/>
  <c r="BC34" i="26"/>
  <c r="AI34" i="26"/>
  <c r="CG33" i="26"/>
  <c r="CC33" i="26"/>
  <c r="BY33" i="26"/>
  <c r="BU33" i="26"/>
  <c r="CY34" i="26"/>
  <c r="CU34" i="26"/>
  <c r="CM34" i="26"/>
  <c r="CE34" i="26"/>
  <c r="BW34" i="26"/>
  <c r="BO34" i="26"/>
  <c r="BG34" i="26"/>
  <c r="AY34" i="26"/>
  <c r="AQ34" i="26"/>
  <c r="CX33" i="26"/>
  <c r="M66" i="30"/>
  <c r="M67" i="30" s="1"/>
  <c r="K65" i="30"/>
  <c r="M65" i="30" s="1"/>
  <c r="I65" i="30" s="1"/>
  <c r="CN33" i="26"/>
  <c r="CS34" i="26"/>
  <c r="CO34" i="26"/>
  <c r="CK34" i="26"/>
  <c r="CG34" i="26"/>
  <c r="CC34" i="26"/>
  <c r="BY34" i="26"/>
  <c r="BU34" i="26"/>
  <c r="BQ34" i="26"/>
  <c r="BM34" i="26"/>
  <c r="BI34" i="26"/>
  <c r="BE34" i="26"/>
  <c r="BA34" i="26"/>
  <c r="AW34" i="26"/>
  <c r="AS34" i="26"/>
  <c r="AM34" i="26"/>
  <c r="AM37" i="26" s="1"/>
  <c r="AE34" i="26"/>
  <c r="CT33" i="26"/>
  <c r="CF33" i="26"/>
  <c r="AO34" i="26"/>
  <c r="AK34" i="26"/>
  <c r="AK37" i="26" s="1"/>
  <c r="AK26" i="26" s="1"/>
  <c r="AG34" i="26"/>
  <c r="CZ33" i="26"/>
  <c r="CZ36" i="26" s="1"/>
  <c r="CZ25" i="26" s="1"/>
  <c r="CV33" i="26"/>
  <c r="CR33" i="26"/>
  <c r="CR36" i="26" s="1"/>
  <c r="CR25" i="26" s="1"/>
  <c r="CJ33" i="26"/>
  <c r="CB33" i="26"/>
  <c r="CP33" i="26"/>
  <c r="CL33" i="26"/>
  <c r="CH33" i="26"/>
  <c r="CD33" i="26"/>
  <c r="BZ33" i="26"/>
  <c r="BR33" i="26"/>
  <c r="BV33" i="26"/>
  <c r="BJ33" i="26"/>
  <c r="BX33" i="26"/>
  <c r="BT33" i="26"/>
  <c r="BT36" i="26" s="1"/>
  <c r="BT25" i="26" s="1"/>
  <c r="BN33" i="26"/>
  <c r="AT33" i="26"/>
  <c r="BP33" i="26"/>
  <c r="BL33" i="26"/>
  <c r="BL36" i="26" s="1"/>
  <c r="BL25" i="26" s="1"/>
  <c r="BF33" i="26"/>
  <c r="BS33" i="26"/>
  <c r="BS36" i="26" s="1"/>
  <c r="BS25" i="26" s="1"/>
  <c r="BH33" i="26"/>
  <c r="BB33" i="26"/>
  <c r="AL33" i="26"/>
  <c r="BG33" i="26"/>
  <c r="BG36" i="26" s="1"/>
  <c r="BG25" i="26" s="1"/>
  <c r="AX33" i="26"/>
  <c r="AP33" i="26"/>
  <c r="AH33" i="26"/>
  <c r="AH36" i="26" s="1"/>
  <c r="BO33" i="26"/>
  <c r="AS33" i="26"/>
  <c r="BD33" i="26"/>
  <c r="AZ33" i="26"/>
  <c r="AV33" i="26"/>
  <c r="AV36" i="26" s="1"/>
  <c r="AV25" i="26" s="1"/>
  <c r="AR33" i="26"/>
  <c r="AR36" i="26" s="1"/>
  <c r="AN33" i="26"/>
  <c r="AN36" i="26" s="1"/>
  <c r="AN25" i="26" s="1"/>
  <c r="AJ33" i="26"/>
  <c r="AJ36" i="26" s="1"/>
  <c r="AF33" i="26"/>
  <c r="AF36" i="26" s="1"/>
  <c r="AF25" i="26" s="1"/>
  <c r="BQ33" i="26"/>
  <c r="BQ36" i="26" s="1"/>
  <c r="BK33" i="26"/>
  <c r="BK36" i="26" s="1"/>
  <c r="BK25" i="26" s="1"/>
  <c r="BA33" i="26"/>
  <c r="BA36" i="26" s="1"/>
  <c r="AK33" i="26"/>
  <c r="AK36" i="26" s="1"/>
  <c r="AK25" i="26" s="1"/>
  <c r="BM33" i="26"/>
  <c r="BI33" i="26"/>
  <c r="BE33" i="26"/>
  <c r="AW33" i="26"/>
  <c r="AO33" i="26"/>
  <c r="AO36" i="26" s="1"/>
  <c r="AG33" i="26"/>
  <c r="BC33" i="26"/>
  <c r="AY33" i="26"/>
  <c r="AU33" i="26"/>
  <c r="AU36" i="26" s="1"/>
  <c r="AQ33" i="26"/>
  <c r="AM33" i="26"/>
  <c r="AI33" i="26"/>
  <c r="D130" i="30"/>
  <c r="AE33" i="26"/>
  <c r="F33" i="26"/>
  <c r="D113" i="30"/>
  <c r="R26" i="26"/>
  <c r="D161" i="30"/>
  <c r="AC37" i="26"/>
  <c r="Q37" i="26"/>
  <c r="Q26" i="26" s="1"/>
  <c r="CN37" i="26"/>
  <c r="CF37" i="26"/>
  <c r="CF26" i="26" s="1"/>
  <c r="BT37" i="26"/>
  <c r="BT26" i="26" s="1"/>
  <c r="AZ37" i="26"/>
  <c r="AZ26" i="26" s="1"/>
  <c r="CY36" i="26"/>
  <c r="CY25" i="26" s="1"/>
  <c r="CQ36" i="26"/>
  <c r="CI36" i="26"/>
  <c r="CI25" i="26" s="1"/>
  <c r="CT37" i="26"/>
  <c r="CT26" i="26" s="1"/>
  <c r="CQ37" i="26"/>
  <c r="CA37" i="26"/>
  <c r="CA26" i="26" s="1"/>
  <c r="BC37" i="26"/>
  <c r="BC26" i="26" s="1"/>
  <c r="P36" i="26"/>
  <c r="P25" i="26" s="1"/>
  <c r="Q17" i="26"/>
  <c r="R17" i="26"/>
  <c r="AB16" i="26"/>
  <c r="U16" i="26"/>
  <c r="AC16" i="26"/>
  <c r="R28" i="26"/>
  <c r="J20" i="26"/>
  <c r="K20" i="26"/>
  <c r="I20" i="26"/>
  <c r="O20" i="26"/>
  <c r="M20" i="26"/>
  <c r="H20" i="26"/>
  <c r="N20" i="26"/>
  <c r="L20" i="26"/>
  <c r="G20" i="26"/>
  <c r="A25" i="30"/>
  <c r="A175" i="17"/>
  <c r="F37" i="26"/>
  <c r="F26" i="26" s="1"/>
  <c r="D114" i="30"/>
  <c r="D75" i="30"/>
  <c r="D165" i="30"/>
  <c r="D136" i="30"/>
  <c r="C106" i="17"/>
  <c r="D8" i="43" s="1"/>
  <c r="C104" i="17"/>
  <c r="C102" i="17"/>
  <c r="C100" i="17"/>
  <c r="C96" i="17"/>
  <c r="C278" i="17"/>
  <c r="C277" i="17"/>
  <c r="C276" i="17"/>
  <c r="C113" i="17"/>
  <c r="C115" i="17"/>
  <c r="C117" i="17"/>
  <c r="C121" i="17"/>
  <c r="C111" i="17"/>
  <c r="C275" i="17"/>
  <c r="C274" i="17"/>
  <c r="C273" i="17"/>
  <c r="D190" i="30" l="1"/>
  <c r="U28" i="26"/>
  <c r="AC27" i="26"/>
  <c r="U17" i="26"/>
  <c r="CQ26" i="26"/>
  <c r="CQ25" i="26"/>
  <c r="CN26" i="26"/>
  <c r="AC26" i="26"/>
  <c r="AU25" i="26"/>
  <c r="BC36" i="26"/>
  <c r="BC25" i="26" s="1"/>
  <c r="AO25" i="26"/>
  <c r="BA25" i="26"/>
  <c r="BQ25" i="26"/>
  <c r="AJ25" i="26"/>
  <c r="AR25" i="26"/>
  <c r="AH25" i="26"/>
  <c r="AX36" i="26"/>
  <c r="AX25" i="26" s="1"/>
  <c r="AL36" i="26"/>
  <c r="AL25" i="26" s="1"/>
  <c r="BP36" i="26"/>
  <c r="BP25" i="26" s="1"/>
  <c r="CH36" i="26"/>
  <c r="CH25" i="26" s="1"/>
  <c r="AM26" i="26"/>
  <c r="AW37" i="26"/>
  <c r="AW26" i="26" s="1"/>
  <c r="BE37" i="26"/>
  <c r="BE26" i="26" s="1"/>
  <c r="BM37" i="26"/>
  <c r="BM26" i="26" s="1"/>
  <c r="BU37" i="26"/>
  <c r="BU26" i="26" s="1"/>
  <c r="CC37" i="26"/>
  <c r="CC26" i="26" s="1"/>
  <c r="CK37" i="26"/>
  <c r="CK26" i="26" s="1"/>
  <c r="CS37" i="26"/>
  <c r="CS26" i="26" s="1"/>
  <c r="Z27" i="26"/>
  <c r="R25" i="26"/>
  <c r="AA25" i="26"/>
  <c r="S25" i="26"/>
  <c r="CD26" i="26"/>
  <c r="BV26" i="26"/>
  <c r="BF26" i="26"/>
  <c r="AX26" i="26"/>
  <c r="AH26" i="26"/>
  <c r="AA28" i="26"/>
  <c r="AD26" i="26"/>
  <c r="E98" i="30"/>
  <c r="D98" i="30"/>
  <c r="G2" i="119"/>
  <c r="E2" i="119"/>
  <c r="E97" i="30"/>
  <c r="H2" i="119"/>
  <c r="F2" i="119"/>
  <c r="D2" i="119"/>
  <c r="I2" i="119" s="1"/>
  <c r="D97" i="30"/>
  <c r="D100" i="30"/>
  <c r="BR36" i="26"/>
  <c r="BR25" i="26" s="1"/>
  <c r="BB36" i="26"/>
  <c r="BB25" i="26" s="1"/>
  <c r="H77" i="30"/>
  <c r="T26" i="26"/>
  <c r="Y26" i="26"/>
  <c r="V26" i="26"/>
  <c r="U25" i="26"/>
  <c r="W16" i="26"/>
  <c r="V16" i="26"/>
  <c r="CL37" i="26"/>
  <c r="CL26" i="26" s="1"/>
  <c r="BN37" i="26"/>
  <c r="BN26" i="26" s="1"/>
  <c r="P37" i="26"/>
  <c r="AP37" i="26"/>
  <c r="AP26" i="26" s="1"/>
  <c r="CW36" i="26"/>
  <c r="CW25" i="26" s="1"/>
  <c r="CO36" i="26"/>
  <c r="CO25" i="26" s="1"/>
  <c r="CG36" i="26"/>
  <c r="CG25" i="26" s="1"/>
  <c r="BY36" i="26"/>
  <c r="BY25" i="26" s="1"/>
  <c r="CW37" i="26"/>
  <c r="CW26" i="26" s="1"/>
  <c r="CG37" i="26"/>
  <c r="CG26" i="26" s="1"/>
  <c r="BQ37" i="26"/>
  <c r="BQ26" i="26" s="1"/>
  <c r="BA37" i="26"/>
  <c r="BA26" i="26" s="1"/>
  <c r="BJ36" i="26"/>
  <c r="BJ25" i="26" s="1"/>
  <c r="AI37" i="26"/>
  <c r="AI26" i="26" s="1"/>
  <c r="AY37" i="26"/>
  <c r="AY26" i="26" s="1"/>
  <c r="BO37" i="26"/>
  <c r="BO26" i="26" s="1"/>
  <c r="CE37" i="26"/>
  <c r="CE26" i="26" s="1"/>
  <c r="CU37" i="26"/>
  <c r="CU26" i="26" s="1"/>
  <c r="BW36" i="26"/>
  <c r="BW25" i="26" s="1"/>
  <c r="CM36" i="26"/>
  <c r="CM25" i="26" s="1"/>
  <c r="AF37" i="26"/>
  <c r="AF26" i="26" s="1"/>
  <c r="AV37" i="26"/>
  <c r="AV26" i="26" s="1"/>
  <c r="BL37" i="26"/>
  <c r="BL26" i="26" s="1"/>
  <c r="CB37" i="26"/>
  <c r="CB26" i="26" s="1"/>
  <c r="CR37" i="26"/>
  <c r="CR26" i="26" s="1"/>
  <c r="BV36" i="26"/>
  <c r="BV25" i="26" s="1"/>
  <c r="AE37" i="26"/>
  <c r="AE26" i="26" s="1"/>
  <c r="AI36" i="26"/>
  <c r="AI25" i="26" s="1"/>
  <c r="CT36" i="26"/>
  <c r="CT25" i="26" s="1"/>
  <c r="BS37" i="26"/>
  <c r="BS26" i="26" s="1"/>
  <c r="CY37" i="26"/>
  <c r="CY26" i="26" s="1"/>
  <c r="CA36" i="26"/>
  <c r="CA25" i="26" s="1"/>
  <c r="AJ37" i="26"/>
  <c r="AJ26" i="26" s="1"/>
  <c r="BP37" i="26"/>
  <c r="BP26" i="26" s="1"/>
  <c r="CV37" i="26"/>
  <c r="CV26" i="26" s="1"/>
  <c r="CD36" i="26"/>
  <c r="CD25" i="26" s="1"/>
  <c r="BX36" i="26"/>
  <c r="BX25" i="26" s="1"/>
  <c r="AP36" i="26"/>
  <c r="AP25" i="26" s="1"/>
  <c r="BO36" i="26"/>
  <c r="BO25" i="26" s="1"/>
  <c r="CU36" i="26"/>
  <c r="CU25" i="26" s="1"/>
  <c r="AN37" i="26"/>
  <c r="AN26" i="26" s="1"/>
  <c r="BD37" i="26"/>
  <c r="BD26" i="26" s="1"/>
  <c r="CJ37" i="26"/>
  <c r="CJ26" i="26" s="1"/>
  <c r="CZ37" i="26"/>
  <c r="CZ26" i="26" s="1"/>
  <c r="AU37" i="26"/>
  <c r="AU26" i="26" s="1"/>
  <c r="BN36" i="26"/>
  <c r="BN25" i="26" s="1"/>
  <c r="CI37" i="26"/>
  <c r="CI26" i="26" s="1"/>
  <c r="AD17" i="26"/>
  <c r="X17" i="26"/>
  <c r="Z17" i="26"/>
  <c r="Y36" i="26"/>
  <c r="Y25" i="26" s="1"/>
  <c r="U27" i="26"/>
  <c r="T17" i="26"/>
  <c r="S37" i="26"/>
  <c r="S26" i="26" s="1"/>
  <c r="Z25" i="26"/>
  <c r="AD28" i="26"/>
  <c r="R27" i="26"/>
  <c r="AA17" i="26"/>
  <c r="AB37" i="26"/>
  <c r="AB26" i="26" s="1"/>
  <c r="AA26" i="26"/>
  <c r="T27" i="26"/>
  <c r="P17" i="26"/>
  <c r="X36" i="26"/>
  <c r="X25" i="26" s="1"/>
  <c r="AE36" i="26"/>
  <c r="AE25" i="26" s="1"/>
  <c r="AQ36" i="26"/>
  <c r="AQ25" i="26" s="1"/>
  <c r="BZ36" i="26"/>
  <c r="BZ25" i="26" s="1"/>
  <c r="CP36" i="26"/>
  <c r="CP25" i="26" s="1"/>
  <c r="S27" i="26"/>
  <c r="Z16" i="26"/>
  <c r="S16" i="26"/>
  <c r="D101" i="30"/>
  <c r="AO37" i="26"/>
  <c r="AO26" i="26" s="1"/>
  <c r="CV36" i="26"/>
  <c r="CV25" i="26" s="1"/>
  <c r="CF36" i="26"/>
  <c r="CF25" i="26" s="1"/>
  <c r="AQ37" i="26"/>
  <c r="AQ26" i="26" s="1"/>
  <c r="BG37" i="26"/>
  <c r="BG26" i="26" s="1"/>
  <c r="BW37" i="26"/>
  <c r="BW26" i="26" s="1"/>
  <c r="CM37" i="26"/>
  <c r="CM26" i="26" s="1"/>
  <c r="AY36" i="26"/>
  <c r="AY25" i="26" s="1"/>
  <c r="AT36" i="26"/>
  <c r="AT25" i="26" s="1"/>
  <c r="BF36" i="26"/>
  <c r="BF25" i="26" s="1"/>
  <c r="T28" i="26"/>
  <c r="Y17" i="26"/>
  <c r="V17" i="26"/>
  <c r="F36" i="26"/>
  <c r="F25" i="26" s="1"/>
  <c r="CL36" i="26"/>
  <c r="CL25" i="26" s="1"/>
  <c r="Q25" i="26"/>
  <c r="AM36" i="26"/>
  <c r="AM25" i="26" s="1"/>
  <c r="D160" i="30"/>
  <c r="AB36" i="26"/>
  <c r="DA36" i="26"/>
  <c r="DA25" i="26" s="1"/>
  <c r="CS36" i="26"/>
  <c r="CS25" i="26" s="1"/>
  <c r="CK36" i="26"/>
  <c r="CK25" i="26" s="1"/>
  <c r="CC36" i="26"/>
  <c r="CC25" i="26" s="1"/>
  <c r="BU36" i="26"/>
  <c r="BU25" i="26" s="1"/>
  <c r="DA37" i="26"/>
  <c r="DA26" i="26" s="1"/>
  <c r="AG37" i="26"/>
  <c r="AG26" i="26" s="1"/>
  <c r="CN36" i="26"/>
  <c r="CN25" i="26" s="1"/>
  <c r="BH36" i="26"/>
  <c r="BH25" i="26" s="1"/>
  <c r="CO37" i="26"/>
  <c r="CO26" i="26" s="1"/>
  <c r="BY37" i="26"/>
  <c r="BY26" i="26" s="1"/>
  <c r="BI37" i="26"/>
  <c r="BI26" i="26" s="1"/>
  <c r="AS37" i="26"/>
  <c r="AS26" i="26" s="1"/>
  <c r="CB36" i="26"/>
  <c r="CB25" i="26" s="1"/>
  <c r="H78" i="30"/>
  <c r="AA27" i="26"/>
  <c r="R16" i="26"/>
  <c r="AG36" i="26"/>
  <c r="AG25" i="26" s="1"/>
  <c r="AW36" i="26"/>
  <c r="AW25" i="26" s="1"/>
  <c r="BI36" i="26"/>
  <c r="BI25" i="26" s="1"/>
  <c r="BD36" i="26"/>
  <c r="BD25" i="26" s="1"/>
  <c r="CJ36" i="26"/>
  <c r="CJ25" i="26" s="1"/>
  <c r="Q16" i="26"/>
  <c r="AD36" i="26"/>
  <c r="AD25" i="26" s="1"/>
  <c r="W37" i="26"/>
  <c r="W28" i="26" s="1"/>
  <c r="BE36" i="26"/>
  <c r="BE25" i="26" s="1"/>
  <c r="BM36" i="26"/>
  <c r="BM25" i="26" s="1"/>
  <c r="AZ36" i="26"/>
  <c r="AZ25" i="26" s="1"/>
  <c r="AS36" i="26"/>
  <c r="AS25" i="26" s="1"/>
  <c r="F20" i="26"/>
  <c r="D157" i="30"/>
  <c r="CZ28" i="26"/>
  <c r="CV28" i="26"/>
  <c r="CN28" i="26"/>
  <c r="CF28" i="26"/>
  <c r="CB28" i="26"/>
  <c r="BX28" i="26"/>
  <c r="BT28" i="26"/>
  <c r="BL28" i="26"/>
  <c r="BH28" i="26"/>
  <c r="AZ28" i="26"/>
  <c r="AR28" i="26"/>
  <c r="AN28" i="26"/>
  <c r="AF28" i="26"/>
  <c r="CY27" i="26"/>
  <c r="CQ27" i="26"/>
  <c r="CI27" i="26"/>
  <c r="CE27" i="26"/>
  <c r="BW27" i="26"/>
  <c r="BS27" i="26"/>
  <c r="BK27" i="26"/>
  <c r="BG27" i="26"/>
  <c r="BC27" i="26"/>
  <c r="AU27" i="26"/>
  <c r="AQ27" i="26"/>
  <c r="AI27" i="26"/>
  <c r="CY28" i="26"/>
  <c r="CU28" i="26"/>
  <c r="CQ28" i="26"/>
  <c r="CE28" i="26"/>
  <c r="CA28" i="26"/>
  <c r="BW28" i="26"/>
  <c r="BK28" i="26"/>
  <c r="BC28" i="26"/>
  <c r="AY28" i="26"/>
  <c r="AQ28" i="26"/>
  <c r="AM28" i="26"/>
  <c r="AE28" i="26"/>
  <c r="CX27" i="26"/>
  <c r="CT27" i="26"/>
  <c r="CP27" i="26"/>
  <c r="CH27" i="26"/>
  <c r="BR27" i="26"/>
  <c r="BJ27" i="26"/>
  <c r="BB27" i="26"/>
  <c r="AX27" i="26"/>
  <c r="AL27" i="26"/>
  <c r="AH27" i="26"/>
  <c r="CX28" i="26"/>
  <c r="CT28" i="26"/>
  <c r="CP28" i="26"/>
  <c r="CL28" i="26"/>
  <c r="CH28" i="26"/>
  <c r="CD28" i="26"/>
  <c r="BZ28" i="26"/>
  <c r="BV28" i="26"/>
  <c r="BR28" i="26"/>
  <c r="BJ28" i="26"/>
  <c r="BF28" i="26"/>
  <c r="BB28" i="26"/>
  <c r="AX28" i="26"/>
  <c r="AT28" i="26"/>
  <c r="AL28" i="26"/>
  <c r="AH28" i="26"/>
  <c r="CW27" i="26"/>
  <c r="CG27" i="26"/>
  <c r="BQ27" i="26"/>
  <c r="BA27" i="26"/>
  <c r="AO27" i="26"/>
  <c r="AK27" i="26"/>
  <c r="CW28" i="26"/>
  <c r="CS28" i="26"/>
  <c r="CK28" i="26"/>
  <c r="CC28" i="26"/>
  <c r="BQ28" i="26"/>
  <c r="BM28" i="26"/>
  <c r="BE28" i="26"/>
  <c r="AW28" i="26"/>
  <c r="AK28" i="26"/>
  <c r="CZ27" i="26"/>
  <c r="CR27" i="26"/>
  <c r="CF27" i="26"/>
  <c r="BX27" i="26"/>
  <c r="BT27" i="26"/>
  <c r="BL27" i="26"/>
  <c r="AV27" i="26"/>
  <c r="AR27" i="26"/>
  <c r="AN27" i="26"/>
  <c r="AJ27" i="26"/>
  <c r="AF27" i="26"/>
  <c r="Q28" i="26"/>
  <c r="V27" i="26"/>
  <c r="P28" i="26"/>
  <c r="P26" i="26"/>
  <c r="X28" i="26"/>
  <c r="X26" i="26"/>
  <c r="Z28" i="26"/>
  <c r="Z26" i="26"/>
  <c r="W27" i="26"/>
  <c r="W25" i="26"/>
  <c r="P27" i="26"/>
  <c r="AC28" i="26"/>
  <c r="V28" i="26"/>
  <c r="X27" i="26"/>
  <c r="Y27" i="26"/>
  <c r="Y28" i="26"/>
  <c r="F28" i="26"/>
  <c r="A26" i="30"/>
  <c r="A27" i="30" s="1"/>
  <c r="A188" i="17"/>
  <c r="D9" i="43"/>
  <c r="D6" i="43"/>
  <c r="D167" i="30"/>
  <c r="D171" i="30" s="1"/>
  <c r="D166" i="30"/>
  <c r="D170" i="30" s="1"/>
  <c r="K37" i="26"/>
  <c r="K26" i="26" s="1"/>
  <c r="D185" i="30"/>
  <c r="L17" i="26"/>
  <c r="N36" i="26"/>
  <c r="N25" i="26" s="1"/>
  <c r="N16" i="26"/>
  <c r="M37" i="26"/>
  <c r="M26" i="26" s="1"/>
  <c r="M17" i="26"/>
  <c r="O36" i="26"/>
  <c r="O25" i="26" s="1"/>
  <c r="O16" i="26"/>
  <c r="G36" i="26"/>
  <c r="G25" i="26" s="1"/>
  <c r="G16" i="26"/>
  <c r="N37" i="26"/>
  <c r="N26" i="26" s="1"/>
  <c r="N17" i="26"/>
  <c r="H36" i="26"/>
  <c r="H25" i="26" s="1"/>
  <c r="H16" i="26"/>
  <c r="O37" i="26"/>
  <c r="O26" i="26" s="1"/>
  <c r="O17" i="26"/>
  <c r="I36" i="26"/>
  <c r="I25" i="26" s="1"/>
  <c r="I16" i="26"/>
  <c r="D184" i="30"/>
  <c r="H17" i="26"/>
  <c r="J36" i="26"/>
  <c r="J25" i="26" s="1"/>
  <c r="J16" i="26"/>
  <c r="I17" i="26"/>
  <c r="K36" i="26"/>
  <c r="K25" i="26" s="1"/>
  <c r="K16" i="26"/>
  <c r="F16" i="26"/>
  <c r="J37" i="26"/>
  <c r="J26" i="26" s="1"/>
  <c r="J17" i="26"/>
  <c r="G37" i="26"/>
  <c r="G26" i="26" s="1"/>
  <c r="G17" i="26"/>
  <c r="L36" i="26"/>
  <c r="L25" i="26" s="1"/>
  <c r="L16" i="26"/>
  <c r="M36" i="26"/>
  <c r="M25" i="26" s="1"/>
  <c r="M16" i="26"/>
  <c r="L37" i="26"/>
  <c r="L26" i="26" s="1"/>
  <c r="H37" i="26"/>
  <c r="H26" i="26" s="1"/>
  <c r="I37" i="26"/>
  <c r="I26" i="26" s="1"/>
  <c r="D169" i="30"/>
  <c r="D53" i="30"/>
  <c r="D16" i="30"/>
  <c r="D56" i="30" s="1"/>
  <c r="D57" i="30" s="1"/>
  <c r="D17" i="30"/>
  <c r="D118" i="30" s="1"/>
  <c r="AD27" i="26" l="1"/>
  <c r="AZ27" i="26"/>
  <c r="BP27" i="26"/>
  <c r="BA28" i="26"/>
  <c r="BU28" i="26"/>
  <c r="CG28" i="26"/>
  <c r="CO28" i="26"/>
  <c r="CS27" i="26"/>
  <c r="AP28" i="26"/>
  <c r="BN28" i="26"/>
  <c r="AP27" i="26"/>
  <c r="BN27" i="26"/>
  <c r="BV27" i="26"/>
  <c r="AI28" i="26"/>
  <c r="BS28" i="26"/>
  <c r="CB27" i="26"/>
  <c r="CJ27" i="26"/>
  <c r="AU28" i="26"/>
  <c r="CI28" i="26"/>
  <c r="BO27" i="26"/>
  <c r="AJ28" i="26"/>
  <c r="CJ28" i="26"/>
  <c r="CR28" i="26"/>
  <c r="D59" i="30"/>
  <c r="H59" i="30" s="1"/>
  <c r="AG27" i="26"/>
  <c r="BE27" i="26"/>
  <c r="BD27" i="26"/>
  <c r="S28" i="26"/>
  <c r="BY27" i="26"/>
  <c r="CO27" i="26"/>
  <c r="BO28" i="26"/>
  <c r="CM27" i="26"/>
  <c r="CU27" i="26"/>
  <c r="AV28" i="26"/>
  <c r="BD28" i="26"/>
  <c r="H57" i="30"/>
  <c r="H56" i="30"/>
  <c r="CD27" i="26"/>
  <c r="BG28" i="26"/>
  <c r="CM28" i="26"/>
  <c r="AE27" i="26"/>
  <c r="CA27" i="26"/>
  <c r="BP28" i="26"/>
  <c r="D117" i="30"/>
  <c r="AB28" i="26"/>
  <c r="CN27" i="26"/>
  <c r="CV27" i="26"/>
  <c r="BI28" i="26"/>
  <c r="DA28" i="26"/>
  <c r="CC27" i="26"/>
  <c r="BF27" i="26"/>
  <c r="BI27" i="26"/>
  <c r="AY27" i="26"/>
  <c r="AS28" i="26"/>
  <c r="BY28" i="26"/>
  <c r="AT27" i="26"/>
  <c r="BZ27" i="26"/>
  <c r="AO28" i="26"/>
  <c r="CL27" i="26"/>
  <c r="W26" i="26"/>
  <c r="BH27" i="26"/>
  <c r="AG28" i="26"/>
  <c r="AW27" i="26"/>
  <c r="BM27" i="26"/>
  <c r="BU27" i="26"/>
  <c r="CK27" i="26"/>
  <c r="DA27" i="26"/>
  <c r="AM27" i="26"/>
  <c r="AB25" i="26"/>
  <c r="AB27" i="26"/>
  <c r="AS27" i="26"/>
  <c r="D55" i="30"/>
  <c r="D116" i="30"/>
  <c r="D119" i="30"/>
  <c r="D140" i="30" s="1"/>
  <c r="D213" i="30"/>
  <c r="D216" i="30"/>
  <c r="D215" i="30"/>
  <c r="D212" i="30"/>
  <c r="J212" i="30" s="1"/>
  <c r="J213" i="30"/>
  <c r="M28" i="26"/>
  <c r="I28" i="26"/>
  <c r="L28" i="26"/>
  <c r="G28" i="26"/>
  <c r="J28" i="26"/>
  <c r="F27" i="26"/>
  <c r="O28" i="26"/>
  <c r="N28" i="26"/>
  <c r="H28" i="26"/>
  <c r="K28" i="26"/>
  <c r="I27" i="26"/>
  <c r="H27" i="26"/>
  <c r="G27" i="26"/>
  <c r="O27" i="26"/>
  <c r="N27" i="26"/>
  <c r="M27" i="26"/>
  <c r="L27" i="26"/>
  <c r="K27" i="26"/>
  <c r="J27" i="26"/>
  <c r="A202" i="17"/>
  <c r="A28" i="30"/>
  <c r="D120" i="30"/>
  <c r="D58" i="30"/>
  <c r="D79" i="30" s="1"/>
  <c r="C243" i="17"/>
  <c r="C240" i="17"/>
  <c r="C239" i="17"/>
  <c r="C238" i="17"/>
  <c r="D61" i="30" l="1"/>
  <c r="D156" i="30"/>
  <c r="D96" i="30"/>
  <c r="H55" i="30"/>
  <c r="I59" i="30" s="1"/>
  <c r="H58" i="30"/>
  <c r="D122" i="30"/>
  <c r="D89" i="30"/>
  <c r="D78" i="30"/>
  <c r="D123" i="30"/>
  <c r="A29" i="30"/>
  <c r="A208" i="17"/>
  <c r="D71" i="30"/>
  <c r="D173" i="30"/>
  <c r="D174" i="30"/>
  <c r="D175" i="30"/>
  <c r="D139" i="30"/>
  <c r="D150" i="30"/>
  <c r="D124" i="30"/>
  <c r="D148" i="30" s="1"/>
  <c r="D62" i="30"/>
  <c r="D87" i="30" s="1"/>
  <c r="D73" i="30"/>
  <c r="D72" i="30"/>
  <c r="D133" i="30"/>
  <c r="D36" i="30"/>
  <c r="D37" i="30"/>
  <c r="I58" i="30" l="1"/>
  <c r="I57" i="30"/>
  <c r="I56" i="30"/>
  <c r="Y3" i="26"/>
  <c r="D81" i="30"/>
  <c r="D83" i="30" s="1"/>
  <c r="AF3" i="26"/>
  <c r="D193" i="30"/>
  <c r="AG12" i="26" s="1"/>
  <c r="H9" i="26"/>
  <c r="J9" i="26"/>
  <c r="L9" i="26"/>
  <c r="N9" i="26"/>
  <c r="P9" i="26"/>
  <c r="R9" i="26"/>
  <c r="T9" i="26"/>
  <c r="V9" i="26"/>
  <c r="X9" i="26"/>
  <c r="Z9" i="26"/>
  <c r="AB9" i="26"/>
  <c r="AD9" i="26"/>
  <c r="AF9" i="26"/>
  <c r="AH9" i="26"/>
  <c r="AJ9" i="26"/>
  <c r="AL9" i="26"/>
  <c r="AN9" i="26"/>
  <c r="AP9" i="26"/>
  <c r="AR9" i="26"/>
  <c r="AT9" i="26"/>
  <c r="AV9" i="26"/>
  <c r="AX9" i="26"/>
  <c r="AZ9" i="26"/>
  <c r="BB9" i="26"/>
  <c r="BD9" i="26"/>
  <c r="BF9" i="26"/>
  <c r="BH9" i="26"/>
  <c r="BJ9" i="26"/>
  <c r="BL9" i="26"/>
  <c r="BN9" i="26"/>
  <c r="BP9" i="26"/>
  <c r="BR9" i="26"/>
  <c r="BT9" i="26"/>
  <c r="BV9" i="26"/>
  <c r="BX9" i="26"/>
  <c r="BZ9" i="26"/>
  <c r="CB9" i="26"/>
  <c r="CD9" i="26"/>
  <c r="CF9" i="26"/>
  <c r="CH9" i="26"/>
  <c r="CJ9" i="26"/>
  <c r="CL9" i="26"/>
  <c r="CN9" i="26"/>
  <c r="CP9" i="26"/>
  <c r="CR9" i="26"/>
  <c r="CT9" i="26"/>
  <c r="CV9" i="26"/>
  <c r="CX9" i="26"/>
  <c r="CZ9" i="26"/>
  <c r="F9" i="26"/>
  <c r="AI9" i="26"/>
  <c r="AK9" i="26"/>
  <c r="AM9" i="26"/>
  <c r="AO9" i="26"/>
  <c r="AQ9" i="26"/>
  <c r="AS9" i="26"/>
  <c r="AU9" i="26"/>
  <c r="AW9" i="26"/>
  <c r="AY9" i="26"/>
  <c r="BA9" i="26"/>
  <c r="BC9" i="26"/>
  <c r="BE9" i="26"/>
  <c r="BG9" i="26"/>
  <c r="BI9" i="26"/>
  <c r="BK9" i="26"/>
  <c r="BM9" i="26"/>
  <c r="BO9" i="26"/>
  <c r="BQ9" i="26"/>
  <c r="BS9" i="26"/>
  <c r="BU9" i="26"/>
  <c r="BW9" i="26"/>
  <c r="BY9" i="26"/>
  <c r="CA9" i="26"/>
  <c r="CC9" i="26"/>
  <c r="CE9" i="26"/>
  <c r="G9" i="26"/>
  <c r="I9" i="26"/>
  <c r="K9" i="26"/>
  <c r="M9" i="26"/>
  <c r="O9" i="26"/>
  <c r="Q9" i="26"/>
  <c r="S9" i="26"/>
  <c r="U9" i="26"/>
  <c r="W9" i="26"/>
  <c r="Y9" i="26"/>
  <c r="AA9" i="26"/>
  <c r="AC9" i="26"/>
  <c r="AE9" i="26"/>
  <c r="AG9" i="26"/>
  <c r="CG9" i="26"/>
  <c r="CI9" i="26"/>
  <c r="CK9" i="26"/>
  <c r="CM9" i="26"/>
  <c r="CO9" i="26"/>
  <c r="CQ9" i="26"/>
  <c r="CS9" i="26"/>
  <c r="CU9" i="26"/>
  <c r="CW9" i="26"/>
  <c r="CY9" i="26"/>
  <c r="DA9" i="26"/>
  <c r="D86" i="30"/>
  <c r="M4" i="26"/>
  <c r="O4" i="26"/>
  <c r="Q4" i="26"/>
  <c r="S4" i="26"/>
  <c r="U4" i="26"/>
  <c r="W4" i="26"/>
  <c r="Y4" i="26"/>
  <c r="AA4" i="26"/>
  <c r="AC4" i="26"/>
  <c r="AE4" i="26"/>
  <c r="AG4" i="26"/>
  <c r="AI4" i="26"/>
  <c r="AK4" i="26"/>
  <c r="AM4" i="26"/>
  <c r="AO4" i="26"/>
  <c r="AQ4" i="26"/>
  <c r="AS4" i="26"/>
  <c r="AU4" i="26"/>
  <c r="AW4" i="26"/>
  <c r="AY4" i="26"/>
  <c r="BA4" i="26"/>
  <c r="BC4" i="26"/>
  <c r="BE4" i="26"/>
  <c r="L4" i="26"/>
  <c r="N4" i="26"/>
  <c r="P4" i="26"/>
  <c r="R4" i="26"/>
  <c r="T4" i="26"/>
  <c r="V4" i="26"/>
  <c r="X4" i="26"/>
  <c r="Z4" i="26"/>
  <c r="AB4" i="26"/>
  <c r="AD4" i="26"/>
  <c r="AF4" i="26"/>
  <c r="AH4" i="26"/>
  <c r="AJ4" i="26"/>
  <c r="AL4" i="26"/>
  <c r="AN4" i="26"/>
  <c r="AP4" i="26"/>
  <c r="AR4" i="26"/>
  <c r="AT4" i="26"/>
  <c r="AV4" i="26"/>
  <c r="AX4" i="26"/>
  <c r="AZ4" i="26"/>
  <c r="BB4" i="26"/>
  <c r="BD4" i="26"/>
  <c r="BF4" i="26"/>
  <c r="BH4" i="26"/>
  <c r="BJ4" i="26"/>
  <c r="BL4" i="26"/>
  <c r="BN4" i="26"/>
  <c r="BP4" i="26"/>
  <c r="BR4" i="26"/>
  <c r="BT4" i="26"/>
  <c r="BV4" i="26"/>
  <c r="BX4" i="26"/>
  <c r="BZ4" i="26"/>
  <c r="CB4" i="26"/>
  <c r="BI4" i="26"/>
  <c r="BM4" i="26"/>
  <c r="BQ4" i="26"/>
  <c r="BU4" i="26"/>
  <c r="BY4" i="26"/>
  <c r="CC4" i="26"/>
  <c r="CE4" i="26"/>
  <c r="CG4" i="26"/>
  <c r="CI4" i="26"/>
  <c r="CK4" i="26"/>
  <c r="CM4" i="26"/>
  <c r="CO4" i="26"/>
  <c r="CQ4" i="26"/>
  <c r="CS4" i="26"/>
  <c r="CU4" i="26"/>
  <c r="CW4" i="26"/>
  <c r="CY4" i="26"/>
  <c r="DA4" i="26"/>
  <c r="G4" i="26"/>
  <c r="I4" i="26"/>
  <c r="F4" i="26"/>
  <c r="BG4" i="26"/>
  <c r="BK4" i="26"/>
  <c r="BO4" i="26"/>
  <c r="BS4" i="26"/>
  <c r="BW4" i="26"/>
  <c r="CA4" i="26"/>
  <c r="CD4" i="26"/>
  <c r="CF4" i="26"/>
  <c r="CH4" i="26"/>
  <c r="CJ4" i="26"/>
  <c r="CL4" i="26"/>
  <c r="CN4" i="26"/>
  <c r="CP4" i="26"/>
  <c r="CR4" i="26"/>
  <c r="CT4" i="26"/>
  <c r="CV4" i="26"/>
  <c r="CX4" i="26"/>
  <c r="CZ4" i="26"/>
  <c r="K4" i="26"/>
  <c r="H4" i="26"/>
  <c r="J4" i="26"/>
  <c r="D90" i="30"/>
  <c r="D147" i="30"/>
  <c r="F8" i="26"/>
  <c r="H8" i="26"/>
  <c r="I8" i="26"/>
  <c r="AE8" i="26"/>
  <c r="G8" i="26"/>
  <c r="J8" i="26"/>
  <c r="CY3" i="26"/>
  <c r="CQ3" i="26"/>
  <c r="CI3" i="26"/>
  <c r="CA3" i="26"/>
  <c r="BS3" i="26"/>
  <c r="BK3" i="26"/>
  <c r="BC3" i="26"/>
  <c r="AU3" i="26"/>
  <c r="AM3" i="26"/>
  <c r="AE3" i="26"/>
  <c r="CT3" i="26"/>
  <c r="CL3" i="26"/>
  <c r="CD3" i="26"/>
  <c r="BV3" i="26"/>
  <c r="BN3" i="26"/>
  <c r="BF3" i="26"/>
  <c r="AX3" i="26"/>
  <c r="AP3" i="26"/>
  <c r="AH3" i="26"/>
  <c r="CX8" i="26"/>
  <c r="CP8" i="26"/>
  <c r="CH8" i="26"/>
  <c r="BZ8" i="26"/>
  <c r="BR8" i="26"/>
  <c r="BJ8" i="26"/>
  <c r="BB8" i="26"/>
  <c r="AT8" i="26"/>
  <c r="AL8" i="26"/>
  <c r="DA8" i="26"/>
  <c r="CS8" i="26"/>
  <c r="CK8" i="26"/>
  <c r="CC8" i="26"/>
  <c r="BU8" i="26"/>
  <c r="BM8" i="26"/>
  <c r="BE8" i="26"/>
  <c r="AW8" i="26"/>
  <c r="AO8" i="26"/>
  <c r="AG8" i="26"/>
  <c r="CU3" i="26"/>
  <c r="CM3" i="26"/>
  <c r="CE3" i="26"/>
  <c r="BW3" i="26"/>
  <c r="BO3" i="26"/>
  <c r="BG3" i="26"/>
  <c r="AY3" i="26"/>
  <c r="AQ3" i="26"/>
  <c r="AI3" i="26"/>
  <c r="CX3" i="26"/>
  <c r="CP3" i="26"/>
  <c r="CH3" i="26"/>
  <c r="BZ3" i="26"/>
  <c r="BR3" i="26"/>
  <c r="BJ3" i="26"/>
  <c r="BB3" i="26"/>
  <c r="AT3" i="26"/>
  <c r="AL3" i="26"/>
  <c r="AD3" i="26"/>
  <c r="CT8" i="26"/>
  <c r="CL8" i="26"/>
  <c r="CD8" i="26"/>
  <c r="BV8" i="26"/>
  <c r="BN8" i="26"/>
  <c r="BF8" i="26"/>
  <c r="AX8" i="26"/>
  <c r="AP8" i="26"/>
  <c r="AH8" i="26"/>
  <c r="CW8" i="26"/>
  <c r="CO8" i="26"/>
  <c r="CG8" i="26"/>
  <c r="BY8" i="26"/>
  <c r="BQ8" i="26"/>
  <c r="BI8" i="26"/>
  <c r="BA8" i="26"/>
  <c r="AS8" i="26"/>
  <c r="AK8" i="26"/>
  <c r="DA3" i="26"/>
  <c r="CW3" i="26"/>
  <c r="CS3" i="26"/>
  <c r="CO3" i="26"/>
  <c r="CK3" i="26"/>
  <c r="CG3" i="26"/>
  <c r="CC3" i="26"/>
  <c r="BY3" i="26"/>
  <c r="BU3" i="26"/>
  <c r="BQ3" i="26"/>
  <c r="BM3" i="26"/>
  <c r="BI3" i="26"/>
  <c r="BE3" i="26"/>
  <c r="BA3" i="26"/>
  <c r="AW3" i="26"/>
  <c r="AS3" i="26"/>
  <c r="AO3" i="26"/>
  <c r="AK3" i="26"/>
  <c r="AG3" i="26"/>
  <c r="CZ3" i="26"/>
  <c r="CV3" i="26"/>
  <c r="CR3" i="26"/>
  <c r="CN3" i="26"/>
  <c r="CJ3" i="26"/>
  <c r="CF3" i="26"/>
  <c r="CB3" i="26"/>
  <c r="BX3" i="26"/>
  <c r="BT3" i="26"/>
  <c r="BP3" i="26"/>
  <c r="BL3" i="26"/>
  <c r="BH3" i="26"/>
  <c r="BD3" i="26"/>
  <c r="AZ3" i="26"/>
  <c r="AV3" i="26"/>
  <c r="AR3" i="26"/>
  <c r="AN3" i="26"/>
  <c r="AJ3" i="26"/>
  <c r="CZ8" i="26"/>
  <c r="CV8" i="26"/>
  <c r="CR8" i="26"/>
  <c r="CN8" i="26"/>
  <c r="CJ8" i="26"/>
  <c r="CF8" i="26"/>
  <c r="CB8" i="26"/>
  <c r="BX8" i="26"/>
  <c r="BT8" i="26"/>
  <c r="BP8" i="26"/>
  <c r="BL8" i="26"/>
  <c r="BH8" i="26"/>
  <c r="BD8" i="26"/>
  <c r="AZ8" i="26"/>
  <c r="AV8" i="26"/>
  <c r="AR8" i="26"/>
  <c r="AN8" i="26"/>
  <c r="AJ8" i="26"/>
  <c r="AF8" i="26"/>
  <c r="CY8" i="26"/>
  <c r="CU8" i="26"/>
  <c r="CQ8" i="26"/>
  <c r="CM8" i="26"/>
  <c r="CI8" i="26"/>
  <c r="CE8" i="26"/>
  <c r="CA8" i="26"/>
  <c r="BW8" i="26"/>
  <c r="BS8" i="26"/>
  <c r="BO8" i="26"/>
  <c r="BK8" i="26"/>
  <c r="BG8" i="26"/>
  <c r="BC8" i="26"/>
  <c r="AY8" i="26"/>
  <c r="AU8" i="26"/>
  <c r="AQ8" i="26"/>
  <c r="AM8" i="26"/>
  <c r="AI8" i="26"/>
  <c r="AF35" i="26"/>
  <c r="AH35" i="26"/>
  <c r="AJ35" i="26"/>
  <c r="AL35" i="26"/>
  <c r="AN35" i="26"/>
  <c r="AP35" i="26"/>
  <c r="AR35" i="26"/>
  <c r="AT35" i="26"/>
  <c r="AV35" i="26"/>
  <c r="AX35" i="26"/>
  <c r="AZ35" i="26"/>
  <c r="BB35" i="26"/>
  <c r="BD35" i="26"/>
  <c r="BF35" i="26"/>
  <c r="BH35" i="26"/>
  <c r="BJ35" i="26"/>
  <c r="BL35" i="26"/>
  <c r="BN35" i="26"/>
  <c r="BP35" i="26"/>
  <c r="BR35" i="26"/>
  <c r="BT35" i="26"/>
  <c r="BV35" i="26"/>
  <c r="BX35" i="26"/>
  <c r="BZ35" i="26"/>
  <c r="CB35" i="26"/>
  <c r="CD35" i="26"/>
  <c r="CF35" i="26"/>
  <c r="CH35" i="26"/>
  <c r="CJ35" i="26"/>
  <c r="CL35" i="26"/>
  <c r="CN35" i="26"/>
  <c r="CP35" i="26"/>
  <c r="CR35" i="26"/>
  <c r="CT35" i="26"/>
  <c r="CV35" i="26"/>
  <c r="CX35" i="26"/>
  <c r="CZ35" i="26"/>
  <c r="AE35" i="26"/>
  <c r="AG35" i="26"/>
  <c r="AI35" i="26"/>
  <c r="AK35" i="26"/>
  <c r="AM35" i="26"/>
  <c r="AO35" i="26"/>
  <c r="AQ35" i="26"/>
  <c r="AS35" i="26"/>
  <c r="AU35" i="26"/>
  <c r="AW35" i="26"/>
  <c r="AY35" i="26"/>
  <c r="BA35" i="26"/>
  <c r="BC35" i="26"/>
  <c r="BE35" i="26"/>
  <c r="BG35" i="26"/>
  <c r="BI35" i="26"/>
  <c r="BK35" i="26"/>
  <c r="BM35" i="26"/>
  <c r="BO35" i="26"/>
  <c r="BQ35" i="26"/>
  <c r="BS35" i="26"/>
  <c r="BU35" i="26"/>
  <c r="BW35" i="26"/>
  <c r="BY35" i="26"/>
  <c r="CA35" i="26"/>
  <c r="CC35" i="26"/>
  <c r="CE35" i="26"/>
  <c r="CG35" i="26"/>
  <c r="CI35" i="26"/>
  <c r="CK35" i="26"/>
  <c r="CM35" i="26"/>
  <c r="CO35" i="26"/>
  <c r="CQ35" i="26"/>
  <c r="CS35" i="26"/>
  <c r="CU35" i="26"/>
  <c r="CW35" i="26"/>
  <c r="CY35" i="26"/>
  <c r="DA35" i="26"/>
  <c r="AE12" i="26"/>
  <c r="AM12" i="26"/>
  <c r="AU12" i="26"/>
  <c r="AJ12" i="26"/>
  <c r="AR12" i="26"/>
  <c r="AY12" i="26"/>
  <c r="BG12" i="26"/>
  <c r="BO12" i="26"/>
  <c r="BW12" i="26"/>
  <c r="CE12" i="26"/>
  <c r="CM12" i="26"/>
  <c r="CU12" i="26"/>
  <c r="AZ12" i="26"/>
  <c r="BH12" i="26"/>
  <c r="BP12" i="26"/>
  <c r="BX12" i="26"/>
  <c r="CF12" i="26"/>
  <c r="CN12" i="26"/>
  <c r="CV12" i="26"/>
  <c r="AC8" i="26"/>
  <c r="Y8" i="26"/>
  <c r="U8" i="26"/>
  <c r="Q8" i="26"/>
  <c r="X8" i="26"/>
  <c r="T8" i="26"/>
  <c r="P8" i="26"/>
  <c r="AA8" i="26"/>
  <c r="W8" i="26"/>
  <c r="S8" i="26"/>
  <c r="AD8" i="26"/>
  <c r="AB8" i="26"/>
  <c r="Z8" i="26"/>
  <c r="V8" i="26"/>
  <c r="R8" i="26"/>
  <c r="AA35" i="26"/>
  <c r="W35" i="26"/>
  <c r="Z35" i="26"/>
  <c r="R35" i="26"/>
  <c r="Y35" i="26"/>
  <c r="Q35" i="26"/>
  <c r="AB35" i="26"/>
  <c r="X35" i="26"/>
  <c r="T35" i="26"/>
  <c r="P35" i="26"/>
  <c r="S35" i="26"/>
  <c r="AD35" i="26"/>
  <c r="V35" i="26"/>
  <c r="AC35" i="26"/>
  <c r="U35" i="26"/>
  <c r="P12" i="26"/>
  <c r="T12" i="26"/>
  <c r="U12" i="26"/>
  <c r="Y12" i="26"/>
  <c r="O3" i="26"/>
  <c r="AB3" i="26"/>
  <c r="Z3" i="26"/>
  <c r="X3" i="26"/>
  <c r="T3" i="26"/>
  <c r="R3" i="26"/>
  <c r="AA3" i="26"/>
  <c r="W3" i="26"/>
  <c r="S3" i="26"/>
  <c r="V3" i="26"/>
  <c r="P3" i="26"/>
  <c r="AC3" i="26"/>
  <c r="U3" i="26"/>
  <c r="Q3" i="26"/>
  <c r="AB32" i="26"/>
  <c r="X32" i="26"/>
  <c r="T32" i="26"/>
  <c r="AA32" i="26"/>
  <c r="S32" i="26"/>
  <c r="P32" i="26"/>
  <c r="AC32" i="26"/>
  <c r="Y32" i="26"/>
  <c r="U32" i="26"/>
  <c r="AD32" i="26"/>
  <c r="Z32" i="26"/>
  <c r="V32" i="26"/>
  <c r="R32" i="26"/>
  <c r="Q32" i="26"/>
  <c r="W32" i="26"/>
  <c r="L8" i="26"/>
  <c r="A31" i="30"/>
  <c r="A214" i="17"/>
  <c r="O8" i="26"/>
  <c r="K8" i="26"/>
  <c r="D204" i="30"/>
  <c r="I12" i="26"/>
  <c r="F12" i="26"/>
  <c r="N12" i="26"/>
  <c r="D177" i="30"/>
  <c r="D178" i="30"/>
  <c r="F3" i="26"/>
  <c r="M8" i="26"/>
  <c r="D142" i="30"/>
  <c r="N8" i="26"/>
  <c r="I3" i="26"/>
  <c r="H35" i="26"/>
  <c r="J35" i="26"/>
  <c r="L35" i="26"/>
  <c r="N35" i="26"/>
  <c r="G35" i="26"/>
  <c r="I35" i="26"/>
  <c r="K35" i="26"/>
  <c r="M35" i="26"/>
  <c r="O35" i="26"/>
  <c r="F35" i="26"/>
  <c r="J3" i="26"/>
  <c r="L3" i="26"/>
  <c r="H3" i="26"/>
  <c r="G3" i="26"/>
  <c r="K3" i="26"/>
  <c r="M3" i="26"/>
  <c r="N3" i="26"/>
  <c r="G32" i="26"/>
  <c r="I32" i="26"/>
  <c r="K32" i="26"/>
  <c r="M32" i="26"/>
  <c r="O32" i="26"/>
  <c r="F32" i="26"/>
  <c r="H32" i="26"/>
  <c r="J32" i="26"/>
  <c r="L32" i="26"/>
  <c r="N32" i="26"/>
  <c r="D187" i="30"/>
  <c r="H3" i="119" l="1"/>
  <c r="F3" i="119"/>
  <c r="D3" i="119"/>
  <c r="G3" i="119"/>
  <c r="E3" i="119"/>
  <c r="J12" i="26"/>
  <c r="M12" i="26"/>
  <c r="W12" i="26"/>
  <c r="R12" i="26"/>
  <c r="V12" i="26"/>
  <c r="CZ12" i="26"/>
  <c r="CR12" i="26"/>
  <c r="CJ12" i="26"/>
  <c r="CB12" i="26"/>
  <c r="BT12" i="26"/>
  <c r="BL12" i="26"/>
  <c r="BD12" i="26"/>
  <c r="CY12" i="26"/>
  <c r="CQ12" i="26"/>
  <c r="CI12" i="26"/>
  <c r="CA12" i="26"/>
  <c r="BS12" i="26"/>
  <c r="BK12" i="26"/>
  <c r="BC12" i="26"/>
  <c r="AV12" i="26"/>
  <c r="AN12" i="26"/>
  <c r="AF12" i="26"/>
  <c r="AQ12" i="26"/>
  <c r="AI12" i="26"/>
  <c r="D151" i="30"/>
  <c r="L12" i="26"/>
  <c r="H12" i="26"/>
  <c r="O12" i="26"/>
  <c r="K12" i="26"/>
  <c r="G12" i="26"/>
  <c r="AA12" i="26"/>
  <c r="Q12" i="26"/>
  <c r="AC12" i="26"/>
  <c r="S12" i="26"/>
  <c r="Z12" i="26"/>
  <c r="AB12" i="26"/>
  <c r="AD12" i="26"/>
  <c r="X12" i="26"/>
  <c r="CX12" i="26"/>
  <c r="CT12" i="26"/>
  <c r="CP12" i="26"/>
  <c r="CL12" i="26"/>
  <c r="CH12" i="26"/>
  <c r="CD12" i="26"/>
  <c r="BZ12" i="26"/>
  <c r="BV12" i="26"/>
  <c r="BR12" i="26"/>
  <c r="BN12" i="26"/>
  <c r="BJ12" i="26"/>
  <c r="BF12" i="26"/>
  <c r="BB12" i="26"/>
  <c r="DA12" i="26"/>
  <c r="CW12" i="26"/>
  <c r="CS12" i="26"/>
  <c r="CO12" i="26"/>
  <c r="CK12" i="26"/>
  <c r="CG12" i="26"/>
  <c r="CC12" i="26"/>
  <c r="BY12" i="26"/>
  <c r="BU12" i="26"/>
  <c r="BQ12" i="26"/>
  <c r="BM12" i="26"/>
  <c r="BI12" i="26"/>
  <c r="BE12" i="26"/>
  <c r="BA12" i="26"/>
  <c r="AX12" i="26"/>
  <c r="AT12" i="26"/>
  <c r="AP12" i="26"/>
  <c r="AL12" i="26"/>
  <c r="AH12" i="26"/>
  <c r="AW12" i="26"/>
  <c r="AS12" i="26"/>
  <c r="AO12" i="26"/>
  <c r="AK12" i="26"/>
  <c r="D201" i="30"/>
  <c r="D202" i="30" s="1"/>
  <c r="D205" i="30" s="1"/>
  <c r="G13" i="26"/>
  <c r="I13" i="26"/>
  <c r="K13" i="26"/>
  <c r="M13" i="26"/>
  <c r="O13" i="26"/>
  <c r="Q13" i="26"/>
  <c r="S13" i="26"/>
  <c r="U13" i="26"/>
  <c r="W13" i="26"/>
  <c r="Y13" i="26"/>
  <c r="AA13" i="26"/>
  <c r="AC13" i="26"/>
  <c r="AE13" i="26"/>
  <c r="AG13" i="26"/>
  <c r="AI13" i="26"/>
  <c r="AK13" i="26"/>
  <c r="AM13" i="26"/>
  <c r="AO13" i="26"/>
  <c r="AQ13" i="26"/>
  <c r="AS13" i="26"/>
  <c r="AU13" i="26"/>
  <c r="AW13" i="26"/>
  <c r="AY13" i="26"/>
  <c r="BA13" i="26"/>
  <c r="BC13" i="26"/>
  <c r="BE13" i="26"/>
  <c r="BG13" i="26"/>
  <c r="BI13" i="26"/>
  <c r="BK13" i="26"/>
  <c r="BM13" i="26"/>
  <c r="BO13" i="26"/>
  <c r="BQ13" i="26"/>
  <c r="BS13" i="26"/>
  <c r="BU13" i="26"/>
  <c r="BW13" i="26"/>
  <c r="BY13" i="26"/>
  <c r="CA13" i="26"/>
  <c r="CC13" i="26"/>
  <c r="CE13" i="26"/>
  <c r="CG13" i="26"/>
  <c r="CI13" i="26"/>
  <c r="CK13" i="26"/>
  <c r="CM13" i="26"/>
  <c r="CO13" i="26"/>
  <c r="CQ13" i="26"/>
  <c r="CS13" i="26"/>
  <c r="CU13" i="26"/>
  <c r="CW13" i="26"/>
  <c r="CY13" i="26"/>
  <c r="DA13" i="26"/>
  <c r="H13" i="26"/>
  <c r="J13" i="26"/>
  <c r="L13" i="26"/>
  <c r="N13" i="26"/>
  <c r="P13" i="26"/>
  <c r="R13" i="26"/>
  <c r="T13" i="26"/>
  <c r="V13" i="26"/>
  <c r="X13" i="26"/>
  <c r="Z13" i="26"/>
  <c r="AB13" i="26"/>
  <c r="AD13" i="26"/>
  <c r="AF13" i="26"/>
  <c r="AH13" i="26"/>
  <c r="AJ13" i="26"/>
  <c r="AL13" i="26"/>
  <c r="AN13" i="26"/>
  <c r="AP13" i="26"/>
  <c r="AR13" i="26"/>
  <c r="AT13" i="26"/>
  <c r="AV13" i="26"/>
  <c r="AX13" i="26"/>
  <c r="AZ13" i="26"/>
  <c r="BB13" i="26"/>
  <c r="BD13" i="26"/>
  <c r="BF13" i="26"/>
  <c r="BH13" i="26"/>
  <c r="BJ13" i="26"/>
  <c r="BL13" i="26"/>
  <c r="BN13" i="26"/>
  <c r="BP13" i="26"/>
  <c r="BR13" i="26"/>
  <c r="BT13" i="26"/>
  <c r="BV13" i="26"/>
  <c r="BX13" i="26"/>
  <c r="BZ13" i="26"/>
  <c r="CB13" i="26"/>
  <c r="CD13" i="26"/>
  <c r="CF13" i="26"/>
  <c r="CH13" i="26"/>
  <c r="CJ13" i="26"/>
  <c r="CL13" i="26"/>
  <c r="CN13" i="26"/>
  <c r="CP13" i="26"/>
  <c r="CR13" i="26"/>
  <c r="CT13" i="26"/>
  <c r="CV13" i="26"/>
  <c r="CX13" i="26"/>
  <c r="CZ13" i="26"/>
  <c r="F13" i="26"/>
  <c r="D155" i="30"/>
  <c r="D153" i="30"/>
  <c r="AD38" i="26"/>
  <c r="P38" i="26"/>
  <c r="X38" i="26"/>
  <c r="W38" i="26"/>
  <c r="R38" i="26"/>
  <c r="AC38" i="26"/>
  <c r="AA38" i="26"/>
  <c r="Y38" i="26"/>
  <c r="V38" i="26"/>
  <c r="Q38" i="26"/>
  <c r="Z38" i="26"/>
  <c r="U38" i="26"/>
  <c r="S38" i="26"/>
  <c r="T38" i="26"/>
  <c r="AB38" i="26"/>
  <c r="A32" i="30"/>
  <c r="A220" i="17"/>
  <c r="N38" i="26"/>
  <c r="J38" i="26"/>
  <c r="L38" i="26"/>
  <c r="H38" i="26"/>
  <c r="O38" i="26"/>
  <c r="G38" i="26"/>
  <c r="K38" i="26"/>
  <c r="F38" i="26"/>
  <c r="M38" i="26"/>
  <c r="I38" i="26"/>
  <c r="D92" i="30"/>
  <c r="D94" i="30" s="1"/>
  <c r="I3" i="119" l="1"/>
  <c r="A225" i="17"/>
  <c r="A34" i="30"/>
  <c r="D134" i="30"/>
  <c r="A230" i="17" l="1"/>
  <c r="A36" i="30"/>
  <c r="A37" i="30" s="1"/>
  <c r="D144" i="30"/>
  <c r="D188" i="30" l="1"/>
  <c r="D194" i="30"/>
  <c r="D196" i="30" l="1"/>
  <c r="D198" i="30" s="1"/>
  <c r="J198" i="30" s="1"/>
  <c r="A104" i="30" l="1"/>
  <c r="A105" i="30" s="1"/>
  <c r="A107" i="30" s="1"/>
  <c r="A108" i="30" s="1"/>
  <c r="A111" i="30" s="1"/>
  <c r="A113" i="30" s="1"/>
  <c r="A114" i="30" s="1"/>
  <c r="A116" i="30" s="1"/>
  <c r="D207" i="30"/>
  <c r="D209" i="30" s="1"/>
  <c r="J209" i="30" s="1"/>
  <c r="A119" i="30" l="1"/>
  <c r="A122" i="30" s="1"/>
  <c r="A118" i="30"/>
  <c r="A120" i="30" l="1"/>
  <c r="A123" i="30" s="1"/>
  <c r="A124" i="30" s="1"/>
  <c r="A126" i="30" s="1"/>
  <c r="A128" i="30" s="1"/>
  <c r="A130" i="30" s="1"/>
  <c r="A131" i="30" s="1"/>
  <c r="A136" i="30" s="1"/>
  <c r="A139" i="30" s="1"/>
  <c r="A140" i="30" s="1"/>
  <c r="A142" i="30" s="1"/>
  <c r="A144" i="30" s="1"/>
  <c r="A147" i="30" s="1"/>
  <c r="A148" i="30" s="1"/>
  <c r="A150" i="30" s="1"/>
  <c r="A153" i="30" s="1"/>
  <c r="A155" i="30" s="1"/>
  <c r="A157" i="30" s="1"/>
  <c r="A158" i="30" s="1"/>
  <c r="A160" i="30" s="1"/>
  <c r="A161" i="30" s="1"/>
  <c r="A164" i="30" s="1"/>
  <c r="A165" i="30" s="1"/>
  <c r="A166" i="30" s="1"/>
  <c r="A167" i="30" s="1"/>
  <c r="A169" i="30" s="1"/>
  <c r="A170" i="30" s="1"/>
  <c r="A171" i="30" s="1"/>
  <c r="A173" i="30" s="1"/>
  <c r="A174" i="30" s="1"/>
  <c r="A175" i="30" s="1"/>
  <c r="A177" i="30" s="1"/>
  <c r="A178" i="30" s="1"/>
  <c r="A180" i="30" s="1"/>
  <c r="A182" i="30" s="1"/>
  <c r="A184" i="30" s="1"/>
  <c r="A185" i="30" s="1"/>
  <c r="A193" i="30" s="1"/>
  <c r="A194" i="30" s="1"/>
  <c r="A196" i="30" s="1"/>
  <c r="A198" i="30" s="1"/>
  <c r="A201" i="30" s="1"/>
  <c r="A202" i="30" s="1"/>
  <c r="A204" i="30" l="1"/>
  <c r="A207" i="30" s="1"/>
  <c r="A209" i="30" s="1"/>
  <c r="A151" i="30"/>
  <c r="A205" i="30" l="1"/>
</calcChain>
</file>

<file path=xl/sharedStrings.xml><?xml version="1.0" encoding="utf-8"?>
<sst xmlns="http://schemas.openxmlformats.org/spreadsheetml/2006/main" count="1502" uniqueCount="579">
  <si>
    <t>Year</t>
  </si>
  <si>
    <t>Average</t>
  </si>
  <si>
    <t>Marginal</t>
  </si>
  <si>
    <t>http://www.defra.gov.uk/environment/business/reporting/conversion-factors.htm</t>
  </si>
  <si>
    <t>Units</t>
  </si>
  <si>
    <t>kWh</t>
  </si>
  <si>
    <t>Natural Gas</t>
  </si>
  <si>
    <t>therms</t>
  </si>
  <si>
    <t>Gas Oil</t>
  </si>
  <si>
    <t>Tonnes</t>
  </si>
  <si>
    <t>litres</t>
  </si>
  <si>
    <t>Fuel Oil</t>
  </si>
  <si>
    <t>Industrial coal</t>
  </si>
  <si>
    <t>Domestic coal</t>
  </si>
  <si>
    <t>LPG</t>
  </si>
  <si>
    <t>Coking coal</t>
  </si>
  <si>
    <t>Aviation spirit</t>
  </si>
  <si>
    <t>Aviation turbine fuel</t>
  </si>
  <si>
    <t>Other Petroleum gases</t>
  </si>
  <si>
    <t>Naptha</t>
  </si>
  <si>
    <t>Lubricants</t>
  </si>
  <si>
    <t>Petroleum Coke</t>
  </si>
  <si>
    <t>Refinery miscellaneous</t>
  </si>
  <si>
    <t>Low</t>
  </si>
  <si>
    <t>High</t>
  </si>
  <si>
    <t>ELECTRICITY - retail: domestic</t>
  </si>
  <si>
    <t>p/KWh (2009)</t>
  </si>
  <si>
    <t>ELECTRICITY - retail: commercial</t>
  </si>
  <si>
    <t>ELECTRICITY - retail: industrial</t>
  </si>
  <si>
    <t>ELECTRICITY - Variable element: domestic</t>
  </si>
  <si>
    <t>ELECTRICITY - Variable element: commercial</t>
  </si>
  <si>
    <t>ELECTRICITY - Variable element: industrial</t>
  </si>
  <si>
    <t>GAS - retail: domestic</t>
  </si>
  <si>
    <t>GAS - retail: commercial</t>
  </si>
  <si>
    <t>GAS - retail: industrial</t>
  </si>
  <si>
    <t>GAS - Variable element: domestic</t>
  </si>
  <si>
    <t>GAS - Variable element: commercial</t>
  </si>
  <si>
    <t>GAS - Variable element: industrial</t>
  </si>
  <si>
    <t>COAL - retail: domestic</t>
  </si>
  <si>
    <t>COAL - retailt: commercial</t>
  </si>
  <si>
    <t>COAL - retail: industrial</t>
  </si>
  <si>
    <t>COAL - Variable element: domestic</t>
  </si>
  <si>
    <t>COAL - Variable element: commercial</t>
  </si>
  <si>
    <t>COAL - Variable element: industrial</t>
  </si>
  <si>
    <t>p/litre (2009)</t>
  </si>
  <si>
    <t>ROAD TRANSPORT - retail: petrol</t>
  </si>
  <si>
    <t>ROAD TRANSPORT - retail: DERV</t>
  </si>
  <si>
    <t>ROAD TRANSPORT - Variable element: petrol</t>
  </si>
  <si>
    <t>ROAD TRANSPORT - Variable element: DERV</t>
  </si>
  <si>
    <t>AVIATION - retail: Aviation fuel</t>
  </si>
  <si>
    <t>AVIATION - Variable element: Aviation fuel</t>
  </si>
  <si>
    <t>ELECTRICITY - retailt: industrial</t>
  </si>
  <si>
    <t>COAL - retail: commercial</t>
  </si>
  <si>
    <t>Fuel Type</t>
  </si>
  <si>
    <r>
      <t>Table 2a: Converting fuel types to CO</t>
    </r>
    <r>
      <rPr>
        <b/>
        <vertAlign val="subscript"/>
        <sz val="12"/>
        <color indexed="8"/>
        <rFont val="Arial"/>
        <family val="2"/>
      </rPr>
      <t>2</t>
    </r>
    <r>
      <rPr>
        <b/>
        <sz val="12"/>
        <color indexed="8"/>
        <rFont val="Arial"/>
        <family val="2"/>
      </rPr>
      <t xml:space="preserve"> (Marginal emissions factors)</t>
    </r>
  </si>
  <si>
    <r>
      <t>Table 1: Electricity emissions factors to 2100, kgCO</t>
    </r>
    <r>
      <rPr>
        <b/>
        <vertAlign val="subscript"/>
        <sz val="12"/>
        <color indexed="8"/>
        <rFont val="Arial"/>
        <family val="2"/>
      </rPr>
      <t>2</t>
    </r>
    <r>
      <rPr>
        <b/>
        <sz val="12"/>
        <color indexed="8"/>
        <rFont val="Arial"/>
        <family val="2"/>
      </rPr>
      <t>/kWh</t>
    </r>
  </si>
  <si>
    <t>Energy prices - Central</t>
  </si>
  <si>
    <t>Energy prices - Low</t>
  </si>
  <si>
    <t>Energy prices - High</t>
  </si>
  <si>
    <t>Energy prices - High High</t>
  </si>
  <si>
    <t>Electricity</t>
  </si>
  <si>
    <t xml:space="preserve">GAS - retail: commercial </t>
  </si>
  <si>
    <t>Burning Oil</t>
  </si>
  <si>
    <t>BURNING OIL - retail: domestic</t>
  </si>
  <si>
    <t>GAS OIL - retail: commercial</t>
  </si>
  <si>
    <t>GAS OIL - retail: industrial</t>
  </si>
  <si>
    <t>BURNING OIL - Variable element: domestic</t>
  </si>
  <si>
    <t>GAS OIL - Variable element: commercial</t>
  </si>
  <si>
    <t>GAS OIL - Variable element: industrial</t>
  </si>
  <si>
    <r>
      <t>Kg CO</t>
    </r>
    <r>
      <rPr>
        <vertAlign val="subscript"/>
        <sz val="10"/>
        <color indexed="9"/>
        <rFont val="Arial"/>
        <family val="2"/>
      </rPr>
      <t>2</t>
    </r>
    <r>
      <rPr>
        <sz val="10"/>
        <color indexed="8"/>
        <rFont val="Arial"/>
        <family val="2"/>
      </rPr>
      <t xml:space="preserve"> </t>
    </r>
    <r>
      <rPr>
        <sz val="10"/>
        <color theme="1"/>
        <rFont val="Arial"/>
        <family val="2"/>
      </rPr>
      <t>per unit</t>
    </r>
  </si>
  <si>
    <t>Medium</t>
  </si>
  <si>
    <t>Reference</t>
  </si>
  <si>
    <t>Value</t>
  </si>
  <si>
    <t>Variable</t>
  </si>
  <si>
    <t>%</t>
  </si>
  <si>
    <t>Chosen Level</t>
  </si>
  <si>
    <t>Operation Period</t>
  </si>
  <si>
    <t>No.</t>
  </si>
  <si>
    <t>Discount rate</t>
  </si>
  <si>
    <t>Fuel bill savings</t>
  </si>
  <si>
    <t>kgCO2/kWh</t>
  </si>
  <si>
    <t>Carbon Valuation Approach (2010)</t>
  </si>
  <si>
    <t>Carbon Valuation Approach (2020)</t>
  </si>
  <si>
    <t>Carbon Valuation Approach (2015)</t>
  </si>
  <si>
    <t>Carbon Emissions Factor (Gas)</t>
  </si>
  <si>
    <t>Domestic</t>
  </si>
  <si>
    <t>Minimum ideal operating hours/year</t>
  </si>
  <si>
    <t>hours/year</t>
  </si>
  <si>
    <t>29, Micro CHP Accelerator Interim Report, 2007</t>
  </si>
  <si>
    <t>Estimate</t>
  </si>
  <si>
    <t>Average (field trial)</t>
  </si>
  <si>
    <t>5a</t>
  </si>
  <si>
    <t>Proportion Electricity Exported</t>
  </si>
  <si>
    <t>77, Micro CHP Accelerator Interim Report, 2007</t>
  </si>
  <si>
    <t>p/kWh</t>
  </si>
  <si>
    <t>Tables 4-9, DECC Carbon Valuation Spreadsheet Tool</t>
  </si>
  <si>
    <t>Table 2, DECC Carbon Valuation Spreadsheet Tool</t>
  </si>
  <si>
    <t>Table 1, DECC Carbon Valuation Spreadsheet Tool</t>
  </si>
  <si>
    <t>£</t>
  </si>
  <si>
    <t>years</t>
  </si>
  <si>
    <t>Carbon Valuation Cost of Carbon (Revised Approach)</t>
  </si>
  <si>
    <t>Non traded sector, central 2011</t>
  </si>
  <si>
    <t>Non traded sector, low 2011</t>
  </si>
  <si>
    <t>Non traded sector, high 2011</t>
  </si>
  <si>
    <t>Table 3, DECC Carbon Valuation Spreadsheet Tool</t>
  </si>
  <si>
    <t>Non traded sector, central 2020</t>
  </si>
  <si>
    <t>Full retail: domestic, 2011 prices (central)</t>
  </si>
  <si>
    <t>Full retail: domestic, 2020 prices (central)</t>
  </si>
  <si>
    <t>Full retail: domestic, 2020 prices (low)</t>
  </si>
  <si>
    <t>Full retail: domestic, 2020 prices (high)</t>
  </si>
  <si>
    <t>Full retail: domestic, 2011 prices (low)</t>
  </si>
  <si>
    <t>Full retail: domestic, 2011 prices (high)</t>
  </si>
  <si>
    <t>Non traded sector, low 2020</t>
  </si>
  <si>
    <t>Non traded sector, high 2020</t>
  </si>
  <si>
    <t>£/year</t>
  </si>
  <si>
    <t>Proportion electricity exported</t>
  </si>
  <si>
    <t>Average MCHP field trial</t>
  </si>
  <si>
    <t>77, Micro CHP Accelerator Interim Report, 2009</t>
  </si>
  <si>
    <t>Ref.</t>
  </si>
  <si>
    <t>No</t>
  </si>
  <si>
    <t>Feed in Tariff applied</t>
  </si>
  <si>
    <t>-</t>
  </si>
  <si>
    <t>With load shifting and energy management</t>
  </si>
  <si>
    <t>2060, Matics &amp; Krost, 2008</t>
  </si>
  <si>
    <t>Cavity wall insulation</t>
  </si>
  <si>
    <t>External wall insulation</t>
  </si>
  <si>
    <t>Internal wall insulation</t>
  </si>
  <si>
    <t>Installation cost</t>
  </si>
  <si>
    <t>blah2</t>
  </si>
  <si>
    <t>Demand side management</t>
  </si>
  <si>
    <t>Darby 2006, 11</t>
  </si>
  <si>
    <t>Direct feedback via energy display</t>
  </si>
  <si>
    <t>Darby 2006, 13</t>
  </si>
  <si>
    <t>Smart metering with informative billing</t>
  </si>
  <si>
    <t>Saxena &amp; Mark Hinnells 2006, p.10</t>
  </si>
  <si>
    <t>Transaction costs</t>
  </si>
  <si>
    <t>Solar thermal</t>
  </si>
  <si>
    <t>Solar photovoltaics</t>
  </si>
  <si>
    <t xml:space="preserve">Transaction costs </t>
  </si>
  <si>
    <t>Renewable Heat Incentive applied</t>
  </si>
  <si>
    <t>3m2 @ 8.5p/kWh</t>
  </si>
  <si>
    <t>4m2 @ 8.5p/kWh</t>
  </si>
  <si>
    <t>£ earnt</t>
  </si>
  <si>
    <t>Carbon Emissions Factors</t>
  </si>
  <si>
    <t>Carbon Emissions Factor (Electricity)</t>
  </si>
  <si>
    <t>5 years</t>
  </si>
  <si>
    <t>2 years</t>
  </si>
  <si>
    <t>3 years</t>
  </si>
  <si>
    <t>4 years</t>
  </si>
  <si>
    <t>1 year</t>
  </si>
  <si>
    <t>Other insulation</t>
  </si>
  <si>
    <t>Loft insulation</t>
  </si>
  <si>
    <t>Loft top-up loft insulation (150 to 270mm)</t>
  </si>
  <si>
    <t>Loft top-up loft insulation (100 to 270mm)</t>
  </si>
  <si>
    <t>saving on heating bill</t>
  </si>
  <si>
    <t>saving on electricity bill</t>
  </si>
  <si>
    <t>Heating measure installation cost</t>
  </si>
  <si>
    <t>Baseline annual gas bill</t>
  </si>
  <si>
    <t>taken back</t>
  </si>
  <si>
    <t>No takeback</t>
  </si>
  <si>
    <t>Cost (£)</t>
  </si>
  <si>
    <t>Shared savings - Client share</t>
  </si>
  <si>
    <t>Guaranteed Savings</t>
  </si>
  <si>
    <t>Shared Savings</t>
  </si>
  <si>
    <t>6 years</t>
  </si>
  <si>
    <t>7 years</t>
  </si>
  <si>
    <t>8 years</t>
  </si>
  <si>
    <t>9 years</t>
  </si>
  <si>
    <t>10 years</t>
  </si>
  <si>
    <t>25 years</t>
  </si>
  <si>
    <t>Lainé 2011, p.24</t>
  </si>
  <si>
    <t>Annual gas price increase</t>
  </si>
  <si>
    <t>Annual electricity price increase</t>
  </si>
  <si>
    <t>Installation costs + (installation cost * % transaction costs)</t>
  </si>
  <si>
    <t>(Annual gas consumption*Energy prices rise)years</t>
  </si>
  <si>
    <t>Annual increase</t>
  </si>
  <si>
    <t>Parametric calculator Annual gas consumption</t>
  </si>
  <si>
    <t>Deatched (104m2)</t>
  </si>
  <si>
    <t>Parametric calculator</t>
  </si>
  <si>
    <t>Semi detached (89m2)</t>
  </si>
  <si>
    <t>Terraced (79m2)</t>
  </si>
  <si>
    <t>Flat (61m2)</t>
  </si>
  <si>
    <t>Effect of CWI</t>
  </si>
  <si>
    <t>Parametric calculator - U value 1.00 to 0.45</t>
  </si>
  <si>
    <t>Gas Consumption</t>
  </si>
  <si>
    <t>Electricity Consumption</t>
  </si>
  <si>
    <t>Baseline Electricity Consumption (kWh)</t>
  </si>
  <si>
    <t>Baseline Annual Electricity Consumption (£)</t>
  </si>
  <si>
    <t>Baseline Total Contract Electricity Consumption (£) incl P rises</t>
  </si>
  <si>
    <t>Baseline annual Electricity bill</t>
  </si>
  <si>
    <t>Electricity measure installation cost</t>
  </si>
  <si>
    <t>Contract Total Baseline Gas Consumption (£) incl P rises</t>
  </si>
  <si>
    <t>f(interest rate+annual price rise, payment periods, present value of repayments, paid at beginning of period)</t>
  </si>
  <si>
    <t>Total Energy Consumption</t>
  </si>
  <si>
    <t>Baseline Total Energy Consumption (kWh)</t>
  </si>
  <si>
    <t>(Annual Total Energy Consumption*(1-% saving from wall insulation)*(1-% saving from loft insulation)*(1-% saving from other insulation)*(1-% saving from boiler upgrade)*(1-% saving from heating controls)*(1-% saving from solar thermal)</t>
  </si>
  <si>
    <t>(Annual Total Energy Consumption*(1-% saving from wall insulation)*(1-% saving from loft insulation)*(1-% saving from other insulation)*(1-% saving from boiler upgrade)*(1-% saving from heating controls)*(1-% saving from solar thermal)* (1+temperature takeback)</t>
  </si>
  <si>
    <t>Baseline Annual Total Energy Consumption (£)</t>
  </si>
  <si>
    <t>Total Energy measure installation cost</t>
  </si>
  <si>
    <t>(Annual Total Energy consumption*Energy prices rise)years</t>
  </si>
  <si>
    <t>Baseline annual Total Energy bill</t>
  </si>
  <si>
    <t>Total Contract Baseline Total Energy Consumption (£) incl P rises</t>
  </si>
  <si>
    <t>Weighted Average Cost of Captial ('Hurdle Rate')</t>
  </si>
  <si>
    <t>6% (ESCO Estimate)</t>
  </si>
  <si>
    <t>20% (ENERGY STAR Buildings Recommended)</t>
  </si>
  <si>
    <t>25% (Energy 2050 Building Conservation)</t>
  </si>
  <si>
    <t>U.S. Environment Protection Agency 1998, p.3)</t>
  </si>
  <si>
    <t>Skea 2010, p.93</t>
  </si>
  <si>
    <t>Gas costs + annual repayments (shared savings)</t>
  </si>
  <si>
    <t>Gas costs + annual repayments (guaranteed savings)</t>
  </si>
  <si>
    <t>Discounted Payback Period (Guaranteed Savings)</t>
  </si>
  <si>
    <t>Discounted Payback Period (Shared Savings)</t>
  </si>
  <si>
    <t>Gas repayments + Electricity repayments (Guaranteed savings)</t>
  </si>
  <si>
    <t>Gas repayments + Electricity repayments (Shared savings)</t>
  </si>
  <si>
    <t>Exceeds Hurdle Rate?</t>
  </si>
  <si>
    <t>Net saving on bill?</t>
  </si>
  <si>
    <t>Retailer ESCO Transaction costs</t>
  </si>
  <si>
    <t>Mini-ESCO Transaction costs</t>
  </si>
  <si>
    <t>Gas Consumer</t>
  </si>
  <si>
    <t>Full retail: commercial, 2011 prices (central)</t>
  </si>
  <si>
    <t>Full retail: commercial, 2011 prices (low)</t>
  </si>
  <si>
    <t>Full retail: commercial, 2011 prices (high)</t>
  </si>
  <si>
    <t>Full retail: commercial, 2020 prices (low)</t>
  </si>
  <si>
    <t>Full retail: commercial, 2020 prices (central)</t>
  </si>
  <si>
    <t>Full retail: commercial, 2020 prices (high)</t>
  </si>
  <si>
    <t>Electricity Consumer</t>
  </si>
  <si>
    <t>Green Deal Impact Assessment reduction factor</t>
  </si>
  <si>
    <t>Green Deal Impact Assessment comfort factor</t>
  </si>
  <si>
    <t>No reduction factor</t>
  </si>
  <si>
    <t>Glasgow Caledonian University in Department of Energy &amp; Climate Change 2011a, p.107</t>
  </si>
  <si>
    <t>Reduction Factor, cavity wall + loft insulation (excluding comfort factor)</t>
  </si>
  <si>
    <t>Reduction Factor, solid wall insulation  (excluding comfort factor)</t>
  </si>
  <si>
    <t>Estimate (based on Herring &amp; S. Sorrell 2009, p.36)</t>
  </si>
  <si>
    <t>Reduction in annual gas bill, shared savings</t>
  </si>
  <si>
    <t>Reduction in annual gas bill, guaranteed savings</t>
  </si>
  <si>
    <t>% saving from baseline</t>
  </si>
  <si>
    <t>rate of return</t>
  </si>
  <si>
    <t>Exported data</t>
  </si>
  <si>
    <t>Contract length (years)</t>
  </si>
  <si>
    <t>Heating technologies used</t>
  </si>
  <si>
    <t>Electricity technologies used</t>
  </si>
  <si>
    <t>All technologies used</t>
  </si>
  <si>
    <t>% reduction in gas consumption, guaranteed savings, with takeback</t>
  </si>
  <si>
    <t>% reduction in gas consumption, shared savings, with takeback</t>
  </si>
  <si>
    <t>% reduction in gas consumption, without takeback</t>
  </si>
  <si>
    <t>Guaranteed savings</t>
  </si>
  <si>
    <t>Client share</t>
  </si>
  <si>
    <t>(Shared savings) Client share</t>
  </si>
  <si>
    <t>Solar thermal (3m2)</t>
  </si>
  <si>
    <t>Solar thermal (4m2)</t>
  </si>
  <si>
    <t>Heating</t>
  </si>
  <si>
    <t>Low takeback</t>
  </si>
  <si>
    <t>Medium takeback</t>
  </si>
  <si>
    <t>High takeback</t>
  </si>
  <si>
    <t>(Annual Electricity Consumption*(1-% saving from demand side management)*(1-% saving from solar PV)* (1+ takeback)</t>
  </si>
  <si>
    <t>(Annual Electricity Consumption*(1-% saving from demand side management)*(1-% saving from solar PV)</t>
  </si>
  <si>
    <t>% reduction in elec consumption, without takeback</t>
  </si>
  <si>
    <t>% reduction elec consumption, guaranteed savings, with takeback</t>
  </si>
  <si>
    <t>% reduction in elec consumption, shared savings, with takeback</t>
  </si>
  <si>
    <t>Reduction in annual elec bill, shared savings</t>
  </si>
  <si>
    <t>Reduction in annual elec bill, guaranteed savings</t>
  </si>
  <si>
    <t>All</t>
  </si>
  <si>
    <t>% reduction energy consumption, guaranteed savings, with takeback</t>
  </si>
  <si>
    <t>% reduction energy consumption, shared savings, with takeback</t>
  </si>
  <si>
    <t>% reduction in Total Energy consumption, without takeback</t>
  </si>
  <si>
    <t>Hard to treat cavity wall insulation</t>
  </si>
  <si>
    <t>Department of Energy &amp; Climate Change 2011a, p51</t>
  </si>
  <si>
    <t>Department of Energy &amp; Climate Change 2011a, p105</t>
  </si>
  <si>
    <t>Department of Energy &amp; Climate Change 2011a, p131</t>
  </si>
  <si>
    <t>External wall insulation + 'making good'</t>
  </si>
  <si>
    <t>Department of Energy &amp; Climate Change 2011a, p106</t>
  </si>
  <si>
    <t>Internal wall insulation + 'making good'</t>
  </si>
  <si>
    <t>Department of Energy &amp; Climate Change 2011a, p62</t>
  </si>
  <si>
    <t>Department of Energy &amp; Climate Change 2011a, p.103 + 108</t>
  </si>
  <si>
    <t>High comfort factor</t>
  </si>
  <si>
    <t>No comfort factor</t>
  </si>
  <si>
    <t>Ofgem in Department of Energy &amp; Climate Change 2011a, p25+106</t>
  </si>
  <si>
    <t>EEC Transaction costs (utility)</t>
  </si>
  <si>
    <t>Contract type</t>
  </si>
  <si>
    <t>Fuel</t>
  </si>
  <si>
    <t>Technologies</t>
  </si>
  <si>
    <t>Annual repayments (client to ESCO)</t>
  </si>
  <si>
    <t>Rate of return (ESCO)</t>
  </si>
  <si>
    <t>% Saving to client (vs baseline fuel bill)</t>
  </si>
  <si>
    <t>Shared savings</t>
  </si>
  <si>
    <t>Constant prices</t>
  </si>
  <si>
    <t>Discounted payback period</t>
  </si>
  <si>
    <t>Public sector payback period</t>
  </si>
  <si>
    <t>Commercial payback period</t>
  </si>
  <si>
    <t>Payback period (ESCO)</t>
  </si>
  <si>
    <t>Feed-in + Export Tariffs applied</t>
  </si>
  <si>
    <t>CDEM</t>
  </si>
  <si>
    <t>Draught proofing (to 0.5 ach)</t>
  </si>
  <si>
    <t>Double glazing (8 windows)</t>
  </si>
  <si>
    <t>Condensing gas boiler</t>
  </si>
  <si>
    <t>Thermostatic radiator valves</t>
  </si>
  <si>
    <t>Cylinder insulation and thermostat</t>
  </si>
  <si>
    <t>Condensing gas boiler, TRVS, cylinder insulation + thermostat</t>
  </si>
  <si>
    <t>Department of Energy &amp; Climate Change 2011a, p51 + estimate</t>
  </si>
  <si>
    <t>Heating interventions</t>
  </si>
  <si>
    <t>Interest rate (Shared Savings)</t>
  </si>
  <si>
    <t>Green Deal Impact Assessment' interest rate (5%)</t>
  </si>
  <si>
    <t>ENERGY STAR' Buildings Recommended 'hurdle rate' (20%)</t>
  </si>
  <si>
    <t>Energy 2050' Building energy conservation 'hurdle rate' (25%)</t>
  </si>
  <si>
    <t>DESCO Gas Consumption with comfort factor, guaranteed savings (kWh)</t>
  </si>
  <si>
    <t>DESCO Gas Consumption with comfort factor, shared savings (kWh)</t>
  </si>
  <si>
    <t>Annual DESCO repayments guaranteed savings (incl P rises)</t>
  </si>
  <si>
    <t>Annual DESCO repayments shared savings (incl P rises)</t>
  </si>
  <si>
    <t>Contract Total DESCO Gas Consumption (£) incl P rises, shared savings</t>
  </si>
  <si>
    <t>Contract Total DESCO Gas Consumption (£) incl P rises, guaranteed savings</t>
  </si>
  <si>
    <t>DESCO costs per year</t>
  </si>
  <si>
    <t>DESCO annual gas bill</t>
  </si>
  <si>
    <t>Baseline gas bill-DESCO gas bill</t>
  </si>
  <si>
    <t>(DESCO bill-Baseline bill)/Baseline bill</t>
  </si>
  <si>
    <t>Shared savings - DESCO share</t>
  </si>
  <si>
    <t>DESCO gas bill % change on Baseline</t>
  </si>
  <si>
    <t>DESCO Electricity Consumption (kWh)</t>
  </si>
  <si>
    <t>DESCO Annual Electricity Consumption (£), guaranteed savings</t>
  </si>
  <si>
    <t>DESCO Annual Electricity Consumption (£), shared savings</t>
  </si>
  <si>
    <t>DESCO Total Contract Electricity Consumption (£) incl P rises</t>
  </si>
  <si>
    <t>DESCO annual Electricity bill</t>
  </si>
  <si>
    <t>Baseline Electricity bill-DESCO Electricity bill</t>
  </si>
  <si>
    <t>DESCO Electricity bill % change on Baseline</t>
  </si>
  <si>
    <t>DESCO Total Energy Consumption (kWh)</t>
  </si>
  <si>
    <t>DESCO Total Energy Consumption with comfort factor (kWh), guaranteed savings</t>
  </si>
  <si>
    <t>DESCO Total Energy Consumption with comfort factor (kWh), shared savings</t>
  </si>
  <si>
    <t>DESCO Annual Energy Consumption (£), guaranteed savings</t>
  </si>
  <si>
    <t>DESCO Annual Energy Consumption (£), shared savings</t>
  </si>
  <si>
    <t>Total Contract DESCO Total Energy Consumption (£) incl P rises</t>
  </si>
  <si>
    <t>DESCO annual Total Energy bill</t>
  </si>
  <si>
    <t>Baseline Total Energy bill-DESCO Provision Total Energy bill</t>
  </si>
  <si>
    <t xml:space="preserve"> % change on Baseline energy bill (DESCO Provision)</t>
  </si>
  <si>
    <t>Baseline Total Energy bill-DESCO Total Energy bill</t>
  </si>
  <si>
    <t>DESCO Total Energy bill % change on Baseline</t>
  </si>
  <si>
    <t>Department of Energy &amp; Climate Change 2011a, p23</t>
  </si>
  <si>
    <t>f(interest rate-annual price rise, payment periods, present value of repayments, paid at beginning of period)</t>
  </si>
  <si>
    <t>Average Baseline Annual Gas Consumption (£)</t>
  </si>
  <si>
    <t>Average DESCO Annual Gas Consumption (£) guaranteed savings</t>
  </si>
  <si>
    <t>Average DESCO Average Annual Gas Consumption (£) shared savings</t>
  </si>
  <si>
    <t>(Annual Gas Consumption*gas price*average annual price increase)</t>
  </si>
  <si>
    <t>(Annual Gas Consumption*gas price*average annual price increase) - (RHI)</t>
  </si>
  <si>
    <t>(Annual Gas Consumption*gas price*average annual price increase)-(RHI)</t>
  </si>
  <si>
    <t>(Annual electricity Consumption*electricity price*average annual price increase)</t>
  </si>
  <si>
    <t>Annual repayments/Total cost</t>
  </si>
  <si>
    <t>Total cost/annual repayments</t>
  </si>
  <si>
    <t>DESCO expenditure total (incl transaction costs)</t>
  </si>
  <si>
    <t>DESCO  expenditure total (incl transaction costs)</t>
  </si>
  <si>
    <t>Low Carbon Buildings Programme, 2011</t>
  </si>
  <si>
    <t>Department of Energy &amp; Climate Change &amp; Energy Saving Trust 2009</t>
  </si>
  <si>
    <t>CDEM &amp; Firth et al. 2010</t>
  </si>
  <si>
    <t>Ofgem 2011b, Firth et al. 2010</t>
  </si>
  <si>
    <t>Name</t>
  </si>
  <si>
    <t>Gas price</t>
  </si>
  <si>
    <t>Electricity price</t>
  </si>
  <si>
    <t>Category</t>
  </si>
  <si>
    <t>Semi detached house (3 bed)</t>
  </si>
  <si>
    <t>Description</t>
  </si>
  <si>
    <t>Source</t>
  </si>
  <si>
    <t>C</t>
  </si>
  <si>
    <t>P</t>
  </si>
  <si>
    <t>Table 5, DECC Carbon Valuation Spreadsheet Tool</t>
  </si>
  <si>
    <t>Table 4, DECC Carbon Valuation Spreadsheet Tool</t>
  </si>
  <si>
    <t>r</t>
  </si>
  <si>
    <t>Baseline annual gas use</t>
  </si>
  <si>
    <t>Baseline annual electricity use</t>
  </si>
  <si>
    <t>T</t>
  </si>
  <si>
    <t>Department of Energy &amp; Climate Change 2011a, p.63</t>
  </si>
  <si>
    <t>k</t>
  </si>
  <si>
    <t>G</t>
  </si>
  <si>
    <t>None</t>
  </si>
  <si>
    <t>CDEM &amp; MacKay 2008, p.39</t>
  </si>
  <si>
    <t>CDEM &amp; MacKay 2008, p.40</t>
  </si>
  <si>
    <t>MacKay 2008, p.39 &amp; Department of Energy &amp; Climate Change 2011c</t>
  </si>
  <si>
    <t>Department of Energy &amp; Climate Change &amp; Energy Saving Trust 2009b</t>
  </si>
  <si>
    <t>e</t>
  </si>
  <si>
    <t>Scenario 1, 'Access for all'</t>
  </si>
  <si>
    <t>Scenario 2, 'Access for all'</t>
  </si>
  <si>
    <t>Scenario 3, 'Access for all'</t>
  </si>
  <si>
    <t>Scenario 4, 'Access for all'</t>
  </si>
  <si>
    <t>Rate of Return (Guaranteed Savings)</t>
  </si>
  <si>
    <t>Rate of Return (Shared Savings)</t>
  </si>
  <si>
    <t>Interest rate + expected fuel price rise</t>
  </si>
  <si>
    <r>
      <t xml:space="preserve">Getting started
</t>
    </r>
    <r>
      <rPr>
        <sz val="10"/>
        <rFont val="Arial"/>
        <family val="2"/>
      </rPr>
      <t>This calculator is designed:
1) to allow the user to make an economic assessment of domestic energy service company model versus the traditional utility energy supply model (baseline). Based on research undertaken in the study entitled “Delivering energy efficiency in the UK through Domestic Energy Service Companies (DESCOs)”
2) to be open source
The first objective has been pursued through:
• the development of “Assessment" worksheet that allow the user to choose from a range of assumptions about energy prices, interest rates, transaction costs and technologies.
• the 'Variables' worksheet which allows users to change the baseline parameters
• the 'Results' worksheet presents the results of the chosen scenario by % savings on fuel bills (vs baseline), ESCO Payback Periods and Rates of Return (RoR)
• the four subsequent worksheets display the results of the chosen scenario graphically by % savings on fuel bills (vs baseline), ESCO Payback Periods and Rates of Return (RoR)
• the 'Summary' worksheet summarises the results of analysis, using the default values, by technology
The second has been pursued by not protecting any part of the spreadsheet.  With a modest knowledge of excel and visual basic, users can access all formulae and all macros in the workbook.  No passwords are needed to do this.
The best way to start using the calculator is to go to the “Assessment” worksheet and use the pale yellow boxes to select values from the ranges offered. You can then export key results into the 'Results' worksheet (row 6) by using the macro-enabled 'Export' buttons.
The first entries in variable lists are the default values.
The DESCO calculator contains macros.  For these to run, the level of "macro security" should be set to "medium".  When you open the calculator, Excel will give you the option to allow macros to run.  You will find macro security under the general heading of "security", under "options" on the "tools" menu.</t>
    </r>
  </si>
  <si>
    <t>PV /  [(1- (1 / (1 + i)n )) / i]</t>
  </si>
  <si>
    <t>P* i*((1+i)^n)/((1+i)^n-1)</t>
  </si>
  <si>
    <t>Zero percent interest rate</t>
  </si>
  <si>
    <t>Holmes, 2011, p27</t>
  </si>
  <si>
    <t>U.S. Environment Protection Agency 1998, p.3</t>
  </si>
  <si>
    <t>External wall insulation with ECO subsidy (55%)</t>
  </si>
  <si>
    <t>External wall insulation + 'making good' with ECO subsidy (55%)</t>
  </si>
  <si>
    <t>Internal wall insulation with ECO subsidy (55%)</t>
  </si>
  <si>
    <t>Internal wall insulation + 'making good' with ECO subsidy (55%)</t>
  </si>
  <si>
    <t>Loft insulation (0-300mm)</t>
  </si>
  <si>
    <t>Loft insulation (150-270mm)</t>
  </si>
  <si>
    <t>Draught proofing (0.5 ach)</t>
  </si>
  <si>
    <t>Solar PV (3kWp Monocrystalline)</t>
  </si>
  <si>
    <t>External wall insulation, 50% client funded</t>
  </si>
  <si>
    <t>External wall insulation + 'making good', 50% client funded</t>
  </si>
  <si>
    <t>Internal wall insulation, 50% client funded</t>
  </si>
  <si>
    <t>Internal wall insulation + 'making good', 50% client funded</t>
  </si>
  <si>
    <t>Hard to treat cavity wall insulation, 50% client funded</t>
  </si>
  <si>
    <t>Loft top-up loft insulation (100 to 270mm), 50% client funded</t>
  </si>
  <si>
    <t>Loft top-up loft insulation (150 to 270mm), 50% client funded</t>
  </si>
  <si>
    <t>Condensing gas boiler, 50% client funded</t>
  </si>
  <si>
    <t>Thermostatic radiator valves, 50% client funded</t>
  </si>
  <si>
    <t>Cylinder insulation and thermostat, 50% client funded</t>
  </si>
  <si>
    <t>Condensing gas boiler, TRVS, cylinder insulation + thermostat, 50% client funded</t>
  </si>
  <si>
    <t>Loft insulation (100 to 270mm), 50% client funded</t>
  </si>
  <si>
    <t>Loft insulation (150 to 270mm), 50% client funded</t>
  </si>
  <si>
    <t>Loft insulation (100 to 270mm)</t>
  </si>
  <si>
    <t>Solar thermal (3m2), 50% client funded</t>
  </si>
  <si>
    <t>Solar thermal (4m2), 50% client funded</t>
  </si>
  <si>
    <t>Solar PV, 1.5 kWp (Monocrystalline)</t>
  </si>
  <si>
    <t>Solar PV, 3 kWp (Monocrystalline)</t>
  </si>
  <si>
    <t>Solar PV, 1.5 kWp (Monocrystalline), 50% client funded</t>
  </si>
  <si>
    <t>Solar PV, 3 kWp (Monocrystalline), 50% client funded</t>
  </si>
  <si>
    <t>1.5 kWp (FiT@21p/kWh, export tariff@3.1p/kWh, 50% exported)</t>
  </si>
  <si>
    <t>3 kWp (FiT@21p/kWh, export tariff@3.1p/kWh, 50% exported)</t>
  </si>
  <si>
    <t>Overall change in
the input parameter
(2Dkj)</t>
  </si>
  <si>
    <t>Initial set value for
the input
parameter (kj)</t>
  </si>
  <si>
    <t>Sensitivity analysis</t>
  </si>
  <si>
    <t>Initial output (GS)</t>
  </si>
  <si>
    <t>Initial output (SS)</t>
  </si>
  <si>
    <t>Overall change in
the output variable2
(change in yi) (GS)</t>
  </si>
  <si>
    <t>Overall change in
the output variable2
(change in yi) (SS)</t>
  </si>
  <si>
    <t>Sensitivity
coe⁄cient @yi/@kj (GS)</t>
  </si>
  <si>
    <t>Sensitivity
coe⁄cient @yi/@kj (SS)</t>
  </si>
  <si>
    <t>Normalized sensitivity coe⁄cient,Si,j [*] (GS)</t>
  </si>
  <si>
    <t>Normalized sensitivity coe⁄cient,Si,j [*] (SS)</t>
  </si>
  <si>
    <t>Self-financed</t>
  </si>
  <si>
    <t>(Smart metering costs covered by smart meter roll out)</t>
  </si>
  <si>
    <t>Medium comfort factor</t>
  </si>
  <si>
    <t>(Annual electricity Consumption*electricity price*average annual price increase) - (FIT)</t>
  </si>
  <si>
    <t>(Annual electricity Consumption*electricity price*average annual price increase)-(FIT)</t>
  </si>
  <si>
    <t>Interest rate (Guaranteed Savings)</t>
  </si>
  <si>
    <t>Heating takeback (Guaranteed Savings)</t>
  </si>
  <si>
    <t>Heating takeback (Shared Savings)</t>
  </si>
  <si>
    <t>Department of Energy &amp; Climate Change 2011a, p.103 &amp; 108</t>
  </si>
  <si>
    <t>Electricity takeback (Guaranteed savings)</t>
  </si>
  <si>
    <t>Electricity takeback (Shared Savings)</t>
  </si>
  <si>
    <t>Feed-in + export tariffs (1.5kWp)</t>
  </si>
  <si>
    <t>Feed-in + export tariffs (3kWp)</t>
  </si>
  <si>
    <t>Renewable Heat Incentive (3m2)</t>
  </si>
  <si>
    <t>Renewable Heat Incentive (4m2)</t>
  </si>
  <si>
    <t>Transaction costs (Iteration 1)</t>
  </si>
  <si>
    <t>Transaction costs (Iteration 2)</t>
  </si>
  <si>
    <t>Baseline annual gas use (Iteration 1)</t>
  </si>
  <si>
    <t>Baseline annual gas use (Iteration 2)</t>
  </si>
  <si>
    <t>Gas price (Iteration 1)</t>
  </si>
  <si>
    <t>Gas price (Iteration 2)</t>
  </si>
  <si>
    <t>Annual gas price increase (Iteration 1)</t>
  </si>
  <si>
    <t>Annual gas price increase (Iteration 2)</t>
  </si>
  <si>
    <t>Guaranteed savings interest rate (Iteration 1)</t>
  </si>
  <si>
    <t>Guaranteed savings interest rate (Iteration 2)</t>
  </si>
  <si>
    <t>Shared savings interest rate (Iteration 1)</t>
  </si>
  <si>
    <t>Shared savings interest rate (Iteration 2)</t>
  </si>
  <si>
    <t>Contract length, low cost measures</t>
  </si>
  <si>
    <t>Contract length, medium cost measures</t>
  </si>
  <si>
    <t>Contract length, high cost measures</t>
  </si>
  <si>
    <t>Guaranteed savings heating takeback (Iteration 1)</t>
  </si>
  <si>
    <t>Guaranteed savings heating takeback (Iteration 2)</t>
  </si>
  <si>
    <t>Shared savings heating takeback (Iteration 1)</t>
  </si>
  <si>
    <t>Shared savings heating takeback (Iteration 2)</t>
  </si>
  <si>
    <t>Baseline annual gas use (Initial value)</t>
  </si>
  <si>
    <t>Gas price (Initial value)</t>
  </si>
  <si>
    <t>Annual gas price increase (Initial value)</t>
  </si>
  <si>
    <t>Guaranteed savings interest rate (Initial value)</t>
  </si>
  <si>
    <t>Shared savings interest rate (Initial value)</t>
  </si>
  <si>
    <t>Guaranteed savings heating takeback (Initial value)</t>
  </si>
  <si>
    <t>Shared savings heating takeback (Initial value)</t>
  </si>
  <si>
    <t>Transaction costs (Initial value)</t>
  </si>
  <si>
    <t>Cylinder insulation, thermostat and TRVs</t>
  </si>
  <si>
    <t>Cylinder insulation, thermostat and TRVs, 50% client funded</t>
  </si>
  <si>
    <t>Loft insulation (0 to 300mm), 50% client funded</t>
  </si>
  <si>
    <t>heat</t>
  </si>
  <si>
    <t>elec</t>
  </si>
  <si>
    <t>Direct feedback via energy display + smart metering with informative billing</t>
  </si>
  <si>
    <t>Department of Energy &amp; Climate Change 2011a, p107</t>
  </si>
  <si>
    <t>External wall insulation + 'making good' GDIA</t>
  </si>
  <si>
    <t>Internal wall insulation (GDIA)</t>
  </si>
  <si>
    <t>Solid wall insulation (contract length=25 years)</t>
  </si>
  <si>
    <t>Low cost insulation (contract length=5 years)</t>
  </si>
  <si>
    <t>Heating Interventions (contract length=10 years)</t>
  </si>
  <si>
    <t>Renewables (contract length=25 years)</t>
  </si>
  <si>
    <t xml:space="preserve">Demand side management (contract length=5 years) </t>
  </si>
  <si>
    <t>Measure</t>
  </si>
  <si>
    <t>% Household savings (HS)</t>
  </si>
  <si>
    <t>Guaranteed savings electricity takeback</t>
  </si>
  <si>
    <t>Shared savings electricity takeback</t>
  </si>
  <si>
    <t>DESCO Gas Consumption with comfort factor, self-financing (kWh)</t>
  </si>
  <si>
    <t>(DESCO gas consumption+(Baseline gas consumption - DESCO gas consumption)*takeback factor)</t>
  </si>
  <si>
    <t>Green Deal Impact Assessment</t>
  </si>
  <si>
    <t>Self-financing heating takeback</t>
  </si>
  <si>
    <t>Year 1</t>
  </si>
  <si>
    <t>Year 2</t>
  </si>
  <si>
    <t>Year 3</t>
  </si>
  <si>
    <t>Year 4</t>
  </si>
  <si>
    <t>Year 5</t>
  </si>
  <si>
    <t>Year 0</t>
  </si>
  <si>
    <t>IRR</t>
  </si>
  <si>
    <t>f(interest rate, payment periods, present value of repayments, paid at beginning of period)</t>
  </si>
  <si>
    <t>i</t>
  </si>
  <si>
    <t>Semi detached house (3 bed) - as above- low consumption (-25%)</t>
  </si>
  <si>
    <t>Semi detached house (3 bed) - as above- high consumption (+25%)</t>
  </si>
  <si>
    <t>Semi detached house (3 bed)  - as above- low consumption (-25%)</t>
  </si>
  <si>
    <t>Semi detached house (3 bed)  - as above- high consumption (+25%)</t>
  </si>
  <si>
    <t>High transaction costs</t>
  </si>
  <si>
    <t>Estimate (based on Bleyl-Androschin &amp; Seefeldt 2009)</t>
  </si>
  <si>
    <t>External wall insulation + 'making good' with ECO subsidy (55%) GDIA</t>
  </si>
  <si>
    <t>Internal wall insulation + 'making good' with ECO subsidy (55%) GDIA</t>
  </si>
  <si>
    <t>Internal wall insulation with ECO subsidy (55%) GDIA</t>
  </si>
  <si>
    <t>Virgin loft insulation (0 to 270mm)</t>
  </si>
  <si>
    <t>Virgin loft insulation (0 to 270mm), 50% client funded</t>
  </si>
  <si>
    <t>% reduction in gas consumption, self-financing, with takeback</t>
  </si>
  <si>
    <t>Average DESCO Annual Gas Consumption (£) self-financing</t>
  </si>
  <si>
    <t>Average DESCO Annual Gas Consumption (£) self-financing incl. installation cost</t>
  </si>
  <si>
    <t>(Capital cost/contract length)+(Annual Gas Consumption*gas price*average annual price increase) - (RHI)</t>
  </si>
  <si>
    <t>Self-financing gas bill % change on Baseline</t>
  </si>
  <si>
    <t>GS</t>
  </si>
  <si>
    <t>SS</t>
  </si>
  <si>
    <t>Double glazing (8 windows), 50% client funded</t>
  </si>
  <si>
    <t>Solid wall insulation</t>
  </si>
  <si>
    <t>% reduction elec consumption, self-financing , with takeback</t>
  </si>
  <si>
    <t>DESCO electricity Consumption with comfort factor, self-financing (kWh)</t>
  </si>
  <si>
    <t>DESCO electricity Consumption with comfort factor, guaranteed savings (kWh)</t>
  </si>
  <si>
    <t>DESCO electricity Consumption with comfort factor, shared savings (kWh)</t>
  </si>
  <si>
    <t>DESCO Annual Electricity Consumption (£), self-financing</t>
  </si>
  <si>
    <t>Reduction in annual elec bill, self-financing</t>
  </si>
  <si>
    <t>self financing</t>
  </si>
  <si>
    <t>Semi detached house, 3 bed, 1945 to 1964, uninsulated cavity wall, no loft insulation, single glazing, uncondensing gas boiler, No TRVs, 0.86 ach infiltration rate</t>
  </si>
  <si>
    <t>Semi detached house - as above- high consumption (+25%)</t>
  </si>
  <si>
    <t>Semi detached house - as above- low consumption (-25%)</t>
  </si>
  <si>
    <t>Semi detached house- as above</t>
  </si>
  <si>
    <t>Scenario 1, 'Access for all', Green Deal</t>
  </si>
  <si>
    <t>Scenario 4, 'Access for all', Green Deal</t>
  </si>
  <si>
    <t>Scenario 2, 'Access for all', Green Deal</t>
  </si>
  <si>
    <t>for loft, cavity wall insulation, draft proofing, demand side management</t>
  </si>
  <si>
    <t>for cylinder insulation, TRVs, thermostat, condensing boiler</t>
  </si>
  <si>
    <t>for external &amp; internal wall insulation, solar PV, solar thermal</t>
  </si>
  <si>
    <t>Baseline Gas Consumption (kWh), C</t>
  </si>
  <si>
    <t>Measures</t>
  </si>
  <si>
    <t>Takeback Factors, k</t>
  </si>
  <si>
    <t>Heating takeback (Self-financing)</t>
  </si>
  <si>
    <t>Savings, from energy efficiency measure (kWh), S</t>
  </si>
  <si>
    <t>S</t>
  </si>
  <si>
    <r>
      <t>D</t>
    </r>
    <r>
      <rPr>
        <vertAlign val="subscript"/>
        <sz val="12"/>
        <color theme="1"/>
        <rFont val="Times New Roman"/>
        <family val="1"/>
      </rPr>
      <t>sf</t>
    </r>
  </si>
  <si>
    <r>
      <t>D</t>
    </r>
    <r>
      <rPr>
        <vertAlign val="subscript"/>
        <sz val="12"/>
        <color theme="1"/>
        <rFont val="Times New Roman"/>
        <family val="1"/>
      </rPr>
      <t>g</t>
    </r>
  </si>
  <si>
    <r>
      <t>D</t>
    </r>
    <r>
      <rPr>
        <vertAlign val="subscript"/>
        <sz val="12"/>
        <color theme="1"/>
        <rFont val="Times New Roman"/>
        <family val="1"/>
      </rPr>
      <t>s</t>
    </r>
    <r>
      <rPr>
        <sz val="12"/>
        <color theme="1"/>
        <rFont val="Times New Roman"/>
        <family val="1"/>
      </rPr>
      <t xml:space="preserve"> </t>
    </r>
  </si>
  <si>
    <r>
      <t>B</t>
    </r>
    <r>
      <rPr>
        <vertAlign val="subscript"/>
        <sz val="12"/>
        <color theme="1"/>
        <rFont val="Times New Roman"/>
        <family val="1"/>
      </rPr>
      <t>b</t>
    </r>
  </si>
  <si>
    <r>
      <t>B</t>
    </r>
    <r>
      <rPr>
        <vertAlign val="subscript"/>
        <sz val="12"/>
        <color theme="1"/>
        <rFont val="Times New Roman"/>
        <family val="1"/>
      </rPr>
      <t>g</t>
    </r>
  </si>
  <si>
    <r>
      <t>B</t>
    </r>
    <r>
      <rPr>
        <vertAlign val="subscript"/>
        <sz val="12"/>
        <color theme="1"/>
        <rFont val="Times New Roman"/>
        <family val="1"/>
      </rPr>
      <t>s</t>
    </r>
    <r>
      <rPr>
        <sz val="12"/>
        <color theme="1"/>
        <rFont val="Times New Roman"/>
        <family val="1"/>
      </rPr>
      <t xml:space="preserve"> </t>
    </r>
  </si>
  <si>
    <r>
      <t>B</t>
    </r>
    <r>
      <rPr>
        <vertAlign val="subscript"/>
        <sz val="12"/>
        <color theme="1"/>
        <rFont val="Times New Roman"/>
        <family val="1"/>
      </rPr>
      <t>sf</t>
    </r>
    <r>
      <rPr>
        <sz val="12"/>
        <color theme="1"/>
        <rFont val="Times New Roman"/>
        <family val="1"/>
      </rPr>
      <t xml:space="preserve"> </t>
    </r>
  </si>
  <si>
    <t>C-Bg</t>
  </si>
  <si>
    <t>C-Bs</t>
  </si>
  <si>
    <t>E</t>
  </si>
  <si>
    <t>E(1+e)</t>
  </si>
  <si>
    <t>Energy prices, P</t>
  </si>
  <si>
    <t>Baseline energy usage, C</t>
  </si>
  <si>
    <t>Interest rate, r</t>
  </si>
  <si>
    <t>Contract Length, T</t>
  </si>
  <si>
    <t>Additional revenue, G</t>
  </si>
  <si>
    <t>Transaction costs, e</t>
  </si>
  <si>
    <t>Rs</t>
  </si>
  <si>
    <t>Rg</t>
  </si>
  <si>
    <t>Bb</t>
  </si>
  <si>
    <t>Bg</t>
  </si>
  <si>
    <t>HS</t>
  </si>
  <si>
    <t>SSs</t>
  </si>
  <si>
    <t>Bs</t>
  </si>
  <si>
    <t>IRRg</t>
  </si>
  <si>
    <t>IRRs</t>
  </si>
  <si>
    <t>PPg</t>
  </si>
  <si>
    <t>PPs</t>
  </si>
  <si>
    <r>
      <t>k</t>
    </r>
    <r>
      <rPr>
        <vertAlign val="subscript"/>
        <sz val="12"/>
        <color theme="1"/>
        <rFont val="Times New Roman"/>
        <family val="1"/>
      </rPr>
      <t>sf</t>
    </r>
  </si>
  <si>
    <r>
      <t>k</t>
    </r>
    <r>
      <rPr>
        <vertAlign val="subscript"/>
        <sz val="12"/>
        <color theme="1"/>
        <rFont val="Times New Roman"/>
        <family val="1"/>
      </rPr>
      <t>g</t>
    </r>
  </si>
  <si>
    <r>
      <t>k</t>
    </r>
    <r>
      <rPr>
        <vertAlign val="subscript"/>
        <sz val="12"/>
        <color theme="1"/>
        <rFont val="Times New Roman"/>
        <family val="1"/>
      </rPr>
      <t>s</t>
    </r>
    <r>
      <rPr>
        <sz val="12"/>
        <color theme="1"/>
        <rFont val="Times New Roman"/>
        <family val="1"/>
      </rPr>
      <t xml:space="preserve"> </t>
    </r>
  </si>
  <si>
    <t>Low consumption</t>
  </si>
  <si>
    <t>High consumption</t>
  </si>
  <si>
    <r>
      <rPr>
        <b/>
        <sz val="10"/>
        <rFont val="Arial"/>
        <family val="2"/>
      </rPr>
      <t>DESCO Energy Cost Tool</t>
    </r>
    <r>
      <rPr>
        <sz val="10"/>
        <rFont val="Arial"/>
        <family val="2"/>
      </rPr>
      <t xml:space="preserve">
The DESCO Energy Cost Tool has been developed by Charlie Morris-Marsham.
The DESCO Energy Cost Tool is made available on the basis:
• that it will not be used for commercial purposes 
• that the recipient will not pass it on to any third party, but will refer such third parties to Charlie Morris-Marsham at University College London.
• that the authors make no claims for the spreadsheet with respect to accuracy or freedom from error 
• that if the recipient finds errors in the spreadsheet, he or she will communicate these to the author.
The DESCO Energy Cost Tool contains macros.  For these to run, the level of "macro security" should be set to "medium".  When you open the calculator, 
Excel will then give you the option to allow macros to run.  You will find macro security under the general heading of "security", under "options" on the "tools" menu.
Tables 1-29 are taken from  the DECC carbon valuation toolkit "81-iag-toolkit-tables-1-29", available from  the carbon valuation web page of the DECC website available at: http://www.decc.gov.uk/en/content/cms/statistics/analysts_group/analysts_group.aspx.
In opening any of the other worksheets in this excel workbook, you confirm that you accept these terms.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</si>
</sst>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Red]\-&quot;£&quot;#,##0.00"/>
    <numFmt numFmtId="43" formatCode="_-* #,##0.00_-;\-* #,##0.00_-;_-* &quot;-&quot;??_-;_-@_-"/>
    <numFmt numFmtId="164" formatCode="0.0"/>
    <numFmt numFmtId="165" formatCode="0.0000"/>
    <numFmt numFmtId="166" formatCode="0.000"/>
    <numFmt numFmtId="167" formatCode="#,##0.0"/>
    <numFmt numFmtId="168" formatCode="0.0%"/>
    <numFmt numFmtId="169" formatCode="&quot;£&quot;#,##0"/>
    <numFmt numFmtId="170" formatCode="0.000000"/>
    <numFmt numFmtId="171" formatCode="&quot;£&quot;#,##0.00"/>
  </numFmts>
  <fonts count="35" x14ac:knownFonts="1">
    <font>
      <sz val="10"/>
      <color theme="1"/>
      <name val="Arial"/>
      <family val="2"/>
    </font>
    <font>
      <sz val="11"/>
      <color theme="1"/>
      <name val="Calibri"/>
      <family val="2"/>
      <scheme val="minor"/>
    </font>
    <font>
      <sz val="10"/>
      <color indexed="8"/>
      <name val="Arial"/>
      <family val="2"/>
    </font>
    <font>
      <sz val="10"/>
      <name val="Arial"/>
      <family val="2"/>
    </font>
    <font>
      <b/>
      <sz val="12"/>
      <color indexed="8"/>
      <name val="Arial"/>
      <family val="2"/>
    </font>
    <font>
      <b/>
      <sz val="12"/>
      <color indexed="8"/>
      <name val="Arial"/>
      <family val="2"/>
    </font>
    <font>
      <b/>
      <vertAlign val="subscript"/>
      <sz val="12"/>
      <color indexed="8"/>
      <name val="Arial"/>
      <family val="2"/>
    </font>
    <font>
      <sz val="9"/>
      <name val="Arial"/>
      <family val="2"/>
    </font>
    <font>
      <sz val="8"/>
      <name val="Arial"/>
      <family val="2"/>
    </font>
    <font>
      <vertAlign val="subscript"/>
      <sz val="10"/>
      <color indexed="9"/>
      <name val="Arial"/>
      <family val="2"/>
    </font>
    <font>
      <sz val="10"/>
      <color theme="1"/>
      <name val="Arial"/>
      <family val="2"/>
    </font>
    <font>
      <u/>
      <sz val="10"/>
      <color theme="10"/>
      <name val="Arial"/>
      <family val="2"/>
    </font>
    <font>
      <b/>
      <sz val="10"/>
      <color theme="1"/>
      <name val="Arial"/>
      <family val="2"/>
    </font>
    <font>
      <sz val="10"/>
      <color rgb="FFFF0000"/>
      <name val="Arial"/>
      <family val="2"/>
    </font>
    <font>
      <sz val="9"/>
      <color theme="1"/>
      <name val="Arial"/>
      <family val="2"/>
    </font>
    <font>
      <sz val="8"/>
      <color theme="1"/>
      <name val="Arial"/>
      <family val="2"/>
    </font>
    <font>
      <b/>
      <sz val="12"/>
      <color theme="1"/>
      <name val="Arial"/>
      <family val="2"/>
    </font>
    <font>
      <sz val="12"/>
      <name val="Arial"/>
      <family val="2"/>
    </font>
    <font>
      <sz val="12"/>
      <name val="Arial"/>
      <family val="2"/>
    </font>
    <font>
      <sz val="10"/>
      <color theme="0" tint="-0.499984740745262"/>
      <name val="Arial"/>
      <family val="2"/>
    </font>
    <font>
      <b/>
      <sz val="10"/>
      <name val="Arial"/>
      <family val="2"/>
    </font>
    <font>
      <b/>
      <sz val="9"/>
      <color theme="1"/>
      <name val="Arial"/>
      <family val="2"/>
    </font>
    <font>
      <sz val="11"/>
      <name val="Arial"/>
      <family val="2"/>
    </font>
    <font>
      <i/>
      <sz val="10"/>
      <color theme="1"/>
      <name val="Arial"/>
      <family val="2"/>
    </font>
    <font>
      <b/>
      <sz val="10"/>
      <color theme="5"/>
      <name val="Arial"/>
      <family val="2"/>
    </font>
    <font>
      <sz val="10"/>
      <color theme="5"/>
      <name val="Arial"/>
      <family val="2"/>
    </font>
    <font>
      <sz val="9"/>
      <color theme="5"/>
      <name val="Arial"/>
      <family val="2"/>
    </font>
    <font>
      <sz val="10"/>
      <color theme="8"/>
      <name val="Arial"/>
      <family val="2"/>
    </font>
    <font>
      <b/>
      <sz val="10"/>
      <color theme="8"/>
      <name val="Arial"/>
      <family val="2"/>
    </font>
    <font>
      <sz val="9"/>
      <color theme="8"/>
      <name val="Arial"/>
      <family val="2"/>
    </font>
    <font>
      <b/>
      <sz val="8"/>
      <color theme="1"/>
      <name val="Arial"/>
      <family val="2"/>
    </font>
    <font>
      <b/>
      <sz val="9"/>
      <color theme="5"/>
      <name val="Arial"/>
      <family val="2"/>
    </font>
    <font>
      <b/>
      <sz val="9"/>
      <color theme="8"/>
      <name val="Arial"/>
      <family val="2"/>
    </font>
    <font>
      <sz val="12"/>
      <color theme="1"/>
      <name val="Times New Roman"/>
      <family val="1"/>
    </font>
    <font>
      <vertAlign val="subscript"/>
      <sz val="12"/>
      <color theme="1"/>
      <name val="Times New Roman"/>
      <family val="1"/>
    </font>
  </fonts>
  <fills count="13">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43" fontId="10" fillId="0" borderId="0" applyFont="0" applyFill="0" applyBorder="0" applyAlignment="0" applyProtection="0"/>
    <xf numFmtId="0" fontId="11" fillId="0" borderId="0" applyNumberFormat="0" applyFill="0" applyBorder="0" applyAlignment="0" applyProtection="0">
      <alignment vertical="top"/>
      <protection locked="0"/>
    </xf>
    <xf numFmtId="0" fontId="17" fillId="0" borderId="0"/>
    <xf numFmtId="2" fontId="18" fillId="0" borderId="2">
      <protection locked="0"/>
    </xf>
    <xf numFmtId="0" fontId="3" fillId="0" borderId="0"/>
    <xf numFmtId="0" fontId="1" fillId="0" borderId="0"/>
  </cellStyleXfs>
  <cellXfs count="329">
    <xf numFmtId="0" fontId="0" fillId="0" borderId="0" xfId="0"/>
    <xf numFmtId="0" fontId="11" fillId="0" borderId="0" xfId="2" applyAlignment="1" applyProtection="1"/>
    <xf numFmtId="0" fontId="0" fillId="0" borderId="0" xfId="0" applyFill="1"/>
    <xf numFmtId="0" fontId="0" fillId="0" borderId="0" xfId="0" applyFill="1" applyAlignment="1">
      <alignment horizontal="center"/>
    </xf>
    <xf numFmtId="0" fontId="14" fillId="0" borderId="1" xfId="0" applyFont="1" applyFill="1" applyBorder="1"/>
    <xf numFmtId="0" fontId="15" fillId="0" borderId="0" xfId="0" applyFont="1" applyFill="1" applyBorder="1" applyAlignment="1">
      <alignment horizontal="center"/>
    </xf>
    <xf numFmtId="0" fontId="0" fillId="0" borderId="0" xfId="0" applyFill="1" applyBorder="1"/>
    <xf numFmtId="0" fontId="14" fillId="0" borderId="0" xfId="0" applyFont="1" applyFill="1"/>
    <xf numFmtId="0" fontId="16" fillId="0" borderId="0" xfId="0" applyFont="1"/>
    <xf numFmtId="0" fontId="5" fillId="0" borderId="0" xfId="0" applyFont="1"/>
    <xf numFmtId="2" fontId="0" fillId="0" borderId="0" xfId="0" applyNumberFormat="1"/>
    <xf numFmtId="0" fontId="0" fillId="0" borderId="0" xfId="0" applyNumberFormat="1"/>
    <xf numFmtId="0" fontId="16" fillId="0" borderId="0" xfId="0" applyFont="1" applyFill="1" applyAlignment="1">
      <alignment horizontal="left"/>
    </xf>
    <xf numFmtId="0" fontId="16" fillId="0" borderId="0" xfId="0" applyFont="1" applyFill="1" applyBorder="1" applyAlignment="1">
      <alignment horizontal="center"/>
    </xf>
    <xf numFmtId="0" fontId="0" fillId="0" borderId="0" xfId="0" applyNumberFormat="1" applyFill="1" applyAlignment="1">
      <alignment horizontal="right"/>
    </xf>
    <xf numFmtId="2" fontId="0" fillId="0" borderId="0" xfId="0" applyNumberFormat="1" applyFont="1"/>
    <xf numFmtId="43" fontId="3" fillId="0" borderId="0" xfId="1" applyFont="1" applyFill="1" applyAlignment="1">
      <alignment horizontal="right"/>
    </xf>
    <xf numFmtId="43" fontId="3" fillId="0" borderId="0" xfId="1" applyFont="1" applyFill="1" applyBorder="1"/>
    <xf numFmtId="0" fontId="7" fillId="0" borderId="1" xfId="0" applyFont="1" applyFill="1" applyBorder="1"/>
    <xf numFmtId="43" fontId="10" fillId="0" borderId="0" xfId="1" applyFont="1" applyFill="1" applyAlignment="1">
      <alignment horizontal="right"/>
    </xf>
    <xf numFmtId="0" fontId="7" fillId="0" borderId="0" xfId="0" applyFont="1" applyFill="1"/>
    <xf numFmtId="43" fontId="10" fillId="0" borderId="0" xfId="1" applyFont="1" applyFill="1"/>
    <xf numFmtId="43" fontId="7" fillId="0" borderId="1" xfId="1" applyFont="1" applyFill="1" applyBorder="1"/>
    <xf numFmtId="0" fontId="13" fillId="0" borderId="0" xfId="0" applyFont="1" applyFill="1"/>
    <xf numFmtId="0" fontId="13" fillId="0" borderId="0" xfId="0" applyFont="1" applyFill="1" applyBorder="1"/>
    <xf numFmtId="43" fontId="10" fillId="0" borderId="0" xfId="1" applyFont="1" applyFill="1" applyBorder="1"/>
    <xf numFmtId="43" fontId="10" fillId="0" borderId="0" xfId="1" applyFont="1" applyFill="1" applyBorder="1" applyAlignment="1">
      <alignment horizontal="right"/>
    </xf>
    <xf numFmtId="0" fontId="3" fillId="0" borderId="0" xfId="0" applyFont="1" applyFill="1"/>
    <xf numFmtId="43" fontId="10" fillId="0" borderId="0" xfId="1" applyFont="1" applyFill="1" applyAlignment="1">
      <alignment horizontal="center"/>
    </xf>
    <xf numFmtId="43" fontId="15" fillId="0" borderId="0" xfId="1" applyFont="1" applyFill="1" applyBorder="1" applyAlignment="1">
      <alignment horizontal="center"/>
    </xf>
    <xf numFmtId="0" fontId="8" fillId="0" borderId="0" xfId="0" applyFont="1" applyFill="1" applyBorder="1" applyAlignment="1">
      <alignment horizontal="center"/>
    </xf>
    <xf numFmtId="43" fontId="3" fillId="0" borderId="0" xfId="1" applyFont="1" applyFill="1"/>
    <xf numFmtId="0" fontId="3" fillId="0" borderId="0" xfId="0" applyFont="1" applyFill="1" applyBorder="1"/>
    <xf numFmtId="0" fontId="0" fillId="0" borderId="0" xfId="0" applyFont="1" applyFill="1"/>
    <xf numFmtId="0" fontId="0" fillId="0" borderId="0" xfId="0" applyFont="1" applyFill="1" applyAlignment="1">
      <alignment horizontal="center"/>
    </xf>
    <xf numFmtId="43" fontId="8" fillId="0" borderId="0" xfId="1" applyFont="1" applyFill="1" applyBorder="1" applyAlignment="1">
      <alignment horizontal="center"/>
    </xf>
    <xf numFmtId="165" fontId="0" fillId="0" borderId="0" xfId="0" applyNumberFormat="1"/>
    <xf numFmtId="43" fontId="3" fillId="0" borderId="0" xfId="1" applyFont="1" applyFill="1" applyBorder="1" applyAlignment="1">
      <alignment horizontal="right"/>
    </xf>
    <xf numFmtId="43" fontId="10" fillId="0" borderId="0" xfId="1" applyFont="1" applyFill="1" applyBorder="1" applyAlignment="1">
      <alignment horizontal="center"/>
    </xf>
    <xf numFmtId="0" fontId="0" fillId="0" borderId="0" xfId="0" applyFill="1" applyBorder="1" applyAlignment="1">
      <alignment horizontal="center"/>
    </xf>
    <xf numFmtId="0" fontId="17" fillId="2" borderId="0" xfId="3" applyFill="1" applyAlignment="1"/>
    <xf numFmtId="0" fontId="17" fillId="0" borderId="0" xfId="3" applyAlignment="1"/>
    <xf numFmtId="0" fontId="18" fillId="2" borderId="0" xfId="3" applyFont="1" applyFill="1" applyAlignment="1">
      <alignment horizontal="left" indent="1"/>
    </xf>
    <xf numFmtId="0" fontId="12" fillId="0" borderId="0" xfId="0" applyFont="1"/>
    <xf numFmtId="166" fontId="0" fillId="0" borderId="0" xfId="0" applyNumberFormat="1"/>
    <xf numFmtId="0" fontId="19" fillId="0" borderId="0" xfId="0" applyFont="1"/>
    <xf numFmtId="10" fontId="0" fillId="0" borderId="0" xfId="0" applyNumberFormat="1"/>
    <xf numFmtId="3" fontId="0" fillId="0" borderId="0" xfId="0" applyNumberFormat="1"/>
    <xf numFmtId="1" fontId="0" fillId="0" borderId="0" xfId="0" applyNumberFormat="1"/>
    <xf numFmtId="167" fontId="0" fillId="0" borderId="0" xfId="0" applyNumberFormat="1"/>
    <xf numFmtId="0" fontId="3" fillId="0" borderId="0" xfId="0" applyFont="1"/>
    <xf numFmtId="0" fontId="20" fillId="0" borderId="0" xfId="0" applyFont="1"/>
    <xf numFmtId="168" fontId="0" fillId="0" borderId="0" xfId="0" applyNumberFormat="1"/>
    <xf numFmtId="0" fontId="0" fillId="3" borderId="0" xfId="0" applyFill="1"/>
    <xf numFmtId="0" fontId="22" fillId="2" borderId="0" xfId="3" applyFont="1" applyFill="1" applyAlignment="1"/>
    <xf numFmtId="0" fontId="22" fillId="0" borderId="0" xfId="3" applyFont="1" applyAlignment="1"/>
    <xf numFmtId="3" fontId="12" fillId="0" borderId="0" xfId="0" applyNumberFormat="1" applyFont="1"/>
    <xf numFmtId="0" fontId="12" fillId="0" borderId="2" xfId="0" applyFont="1" applyBorder="1"/>
    <xf numFmtId="0" fontId="0" fillId="0" borderId="2" xfId="0" applyBorder="1"/>
    <xf numFmtId="0" fontId="12" fillId="0" borderId="2" xfId="0" applyFont="1" applyBorder="1" applyAlignment="1">
      <alignment wrapText="1"/>
    </xf>
    <xf numFmtId="1" fontId="14" fillId="0" borderId="2" xfId="0" applyNumberFormat="1" applyFont="1" applyBorder="1" applyAlignment="1">
      <alignment wrapText="1"/>
    </xf>
    <xf numFmtId="9" fontId="0" fillId="0" borderId="2" xfId="0" applyNumberFormat="1" applyBorder="1"/>
    <xf numFmtId="0" fontId="0" fillId="0" borderId="0" xfId="0" applyFont="1"/>
    <xf numFmtId="0" fontId="0" fillId="0" borderId="0" xfId="0" applyFont="1" applyAlignment="1">
      <alignment horizontal="left" wrapText="1"/>
    </xf>
    <xf numFmtId="167" fontId="0" fillId="4" borderId="0" xfId="0" applyNumberFormat="1" applyFill="1"/>
    <xf numFmtId="0" fontId="0" fillId="5" borderId="0" xfId="0" applyFont="1" applyFill="1"/>
    <xf numFmtId="3" fontId="0" fillId="5" borderId="0" xfId="0" applyNumberFormat="1" applyFont="1" applyFill="1"/>
    <xf numFmtId="3" fontId="0" fillId="0" borderId="0" xfId="0" applyNumberFormat="1" applyFont="1"/>
    <xf numFmtId="9" fontId="12" fillId="0" borderId="0" xfId="0" applyNumberFormat="1" applyFont="1"/>
    <xf numFmtId="9" fontId="0" fillId="6" borderId="0" xfId="0" applyNumberFormat="1" applyFill="1"/>
    <xf numFmtId="168" fontId="0" fillId="6" borderId="0" xfId="0" applyNumberFormat="1" applyFill="1"/>
    <xf numFmtId="10" fontId="0" fillId="6" borderId="0" xfId="0" applyNumberFormat="1" applyFill="1"/>
    <xf numFmtId="8" fontId="0" fillId="0" borderId="0" xfId="0" applyNumberFormat="1" applyFont="1"/>
    <xf numFmtId="0" fontId="12" fillId="0" borderId="3" xfId="0" applyFont="1" applyBorder="1"/>
    <xf numFmtId="3" fontId="12" fillId="0" borderId="3" xfId="0" applyNumberFormat="1" applyFont="1" applyBorder="1"/>
    <xf numFmtId="0" fontId="12" fillId="0" borderId="4" xfId="0" applyFont="1" applyBorder="1"/>
    <xf numFmtId="0" fontId="12" fillId="0" borderId="0" xfId="0" applyFont="1" applyBorder="1"/>
    <xf numFmtId="9" fontId="12" fillId="0" borderId="0" xfId="0" applyNumberFormat="1" applyFont="1" applyBorder="1"/>
    <xf numFmtId="164" fontId="12" fillId="0" borderId="0" xfId="0" applyNumberFormat="1" applyFont="1" applyBorder="1"/>
    <xf numFmtId="164" fontId="12" fillId="0" borderId="4" xfId="0" applyNumberFormat="1" applyFont="1" applyBorder="1"/>
    <xf numFmtId="0" fontId="12" fillId="5" borderId="0" xfId="0" applyFont="1" applyFill="1"/>
    <xf numFmtId="0" fontId="0" fillId="5" borderId="0" xfId="0" applyFill="1"/>
    <xf numFmtId="3" fontId="0" fillId="5" borderId="0" xfId="0" applyNumberFormat="1" applyFill="1"/>
    <xf numFmtId="3" fontId="12" fillId="5" borderId="0" xfId="0" applyNumberFormat="1" applyFont="1" applyFill="1"/>
    <xf numFmtId="9" fontId="12" fillId="5" borderId="0" xfId="0" applyNumberFormat="1" applyFont="1" applyFill="1"/>
    <xf numFmtId="0" fontId="12" fillId="7" borderId="0" xfId="0" applyFont="1" applyFill="1"/>
    <xf numFmtId="0" fontId="0" fillId="7" borderId="0" xfId="0" applyFill="1"/>
    <xf numFmtId="3" fontId="0" fillId="7" borderId="0" xfId="0" applyNumberFormat="1" applyFill="1"/>
    <xf numFmtId="0" fontId="0" fillId="7" borderId="0" xfId="0" applyFont="1" applyFill="1"/>
    <xf numFmtId="3" fontId="0" fillId="7" borderId="0" xfId="0" applyNumberFormat="1" applyFont="1" applyFill="1"/>
    <xf numFmtId="3" fontId="12" fillId="7" borderId="0" xfId="0" applyNumberFormat="1" applyFont="1" applyFill="1"/>
    <xf numFmtId="0" fontId="0" fillId="7" borderId="0" xfId="0" applyFont="1" applyFill="1" applyAlignment="1">
      <alignment wrapText="1"/>
    </xf>
    <xf numFmtId="0" fontId="12" fillId="7" borderId="0" xfId="0" applyFont="1" applyFill="1" applyBorder="1"/>
    <xf numFmtId="9" fontId="12" fillId="7" borderId="0" xfId="0" applyNumberFormat="1" applyFont="1" applyFill="1" applyBorder="1"/>
    <xf numFmtId="3" fontId="0" fillId="0" borderId="0" xfId="0" applyNumberFormat="1" applyFont="1" applyFill="1"/>
    <xf numFmtId="0" fontId="3" fillId="0" borderId="0" xfId="3" applyFont="1" applyAlignment="1">
      <alignment vertical="top" wrapText="1"/>
    </xf>
    <xf numFmtId="0" fontId="20" fillId="0" borderId="0" xfId="3" applyFont="1" applyAlignment="1">
      <alignment vertical="top" wrapText="1"/>
    </xf>
    <xf numFmtId="9" fontId="12" fillId="0" borderId="3" xfId="0" applyNumberFormat="1" applyFont="1" applyBorder="1"/>
    <xf numFmtId="168" fontId="0" fillId="0" borderId="0" xfId="0" applyNumberFormat="1" applyFill="1"/>
    <xf numFmtId="3" fontId="0" fillId="6" borderId="0" xfId="0" applyNumberFormat="1" applyFill="1"/>
    <xf numFmtId="0" fontId="12" fillId="8" borderId="0" xfId="0" quotePrefix="1" applyFont="1" applyFill="1"/>
    <xf numFmtId="0" fontId="0" fillId="8" borderId="0" xfId="0" applyFill="1"/>
    <xf numFmtId="3" fontId="0" fillId="8" borderId="0" xfId="0" applyNumberFormat="1" applyFill="1"/>
    <xf numFmtId="0" fontId="0" fillId="8" borderId="0" xfId="0" applyFont="1" applyFill="1"/>
    <xf numFmtId="3" fontId="0" fillId="8" borderId="0" xfId="0" applyNumberFormat="1" applyFont="1" applyFill="1"/>
    <xf numFmtId="0" fontId="12" fillId="8" borderId="0" xfId="0" applyFont="1" applyFill="1"/>
    <xf numFmtId="3" fontId="12" fillId="8" borderId="0" xfId="0" applyNumberFormat="1" applyFont="1" applyFill="1"/>
    <xf numFmtId="9" fontId="12" fillId="8" borderId="0" xfId="0" applyNumberFormat="1" applyFont="1" applyFill="1"/>
    <xf numFmtId="0" fontId="12" fillId="9" borderId="0" xfId="0" applyFont="1" applyFill="1"/>
    <xf numFmtId="0" fontId="0" fillId="9" borderId="0" xfId="0" applyFill="1"/>
    <xf numFmtId="3" fontId="0" fillId="9" borderId="0" xfId="0" applyNumberFormat="1" applyFill="1"/>
    <xf numFmtId="0" fontId="0" fillId="9" borderId="0" xfId="0" applyFont="1" applyFill="1"/>
    <xf numFmtId="3" fontId="0" fillId="9" borderId="0" xfId="0" applyNumberFormat="1" applyFont="1" applyFill="1"/>
    <xf numFmtId="3" fontId="12" fillId="9" borderId="0" xfId="0" applyNumberFormat="1" applyFont="1" applyFill="1"/>
    <xf numFmtId="0" fontId="0" fillId="9" borderId="0" xfId="0" applyFont="1" applyFill="1" applyAlignment="1">
      <alignment wrapText="1"/>
    </xf>
    <xf numFmtId="0" fontId="12" fillId="9" borderId="0" xfId="0" applyFont="1" applyFill="1" applyBorder="1"/>
    <xf numFmtId="9" fontId="12" fillId="9" borderId="0" xfId="0" applyNumberFormat="1" applyFont="1" applyFill="1" applyBorder="1"/>
    <xf numFmtId="0" fontId="0" fillId="0" borderId="0" xfId="0" applyFont="1" applyBorder="1"/>
    <xf numFmtId="0" fontId="12" fillId="10" borderId="0" xfId="0" applyFont="1" applyFill="1"/>
    <xf numFmtId="0" fontId="0" fillId="10" borderId="0" xfId="0" applyFont="1" applyFill="1" applyBorder="1"/>
    <xf numFmtId="0" fontId="12" fillId="10" borderId="0" xfId="0" applyFont="1" applyFill="1" applyBorder="1"/>
    <xf numFmtId="0" fontId="0" fillId="10" borderId="3" xfId="0" applyFont="1" applyFill="1" applyBorder="1"/>
    <xf numFmtId="167" fontId="0" fillId="6" borderId="0" xfId="0" applyNumberFormat="1" applyFill="1"/>
    <xf numFmtId="166" fontId="0" fillId="6" borderId="0" xfId="0" applyNumberFormat="1" applyFill="1"/>
    <xf numFmtId="9" fontId="0" fillId="0" borderId="0" xfId="0" applyNumberFormat="1" applyFill="1"/>
    <xf numFmtId="1" fontId="0" fillId="0" borderId="0" xfId="0" applyNumberFormat="1" applyFill="1"/>
    <xf numFmtId="0" fontId="14" fillId="0" borderId="2" xfId="0" applyFont="1" applyBorder="1" applyAlignment="1">
      <alignment wrapText="1"/>
    </xf>
    <xf numFmtId="0" fontId="21" fillId="0" borderId="2" xfId="0" applyFont="1" applyBorder="1" applyAlignment="1">
      <alignment wrapText="1"/>
    </xf>
    <xf numFmtId="9" fontId="14" fillId="0" borderId="2" xfId="0" applyNumberFormat="1" applyFont="1" applyFill="1" applyBorder="1" applyAlignment="1">
      <alignment wrapText="1"/>
    </xf>
    <xf numFmtId="9" fontId="0" fillId="0" borderId="2" xfId="0" applyNumberFormat="1" applyFont="1" applyFill="1" applyBorder="1"/>
    <xf numFmtId="0" fontId="0" fillId="0" borderId="2" xfId="0" applyFont="1" applyBorder="1" applyAlignment="1">
      <alignment wrapText="1"/>
    </xf>
    <xf numFmtId="169" fontId="0" fillId="0" borderId="2" xfId="0" applyNumberFormat="1" applyFont="1" applyBorder="1" applyAlignment="1">
      <alignment wrapText="1"/>
    </xf>
    <xf numFmtId="9" fontId="0" fillId="0" borderId="2" xfId="0" applyNumberFormat="1" applyFont="1" applyBorder="1" applyAlignment="1">
      <alignment wrapText="1"/>
    </xf>
    <xf numFmtId="0" fontId="12" fillId="0" borderId="2" xfId="0" applyFont="1" applyBorder="1" applyAlignment="1"/>
    <xf numFmtId="0" fontId="13" fillId="0" borderId="0" xfId="0" applyFont="1"/>
    <xf numFmtId="0" fontId="25" fillId="0" borderId="2" xfId="0" applyFont="1" applyBorder="1" applyAlignment="1">
      <alignment wrapText="1"/>
    </xf>
    <xf numFmtId="0" fontId="24" fillId="0" borderId="2" xfId="0" applyFont="1" applyBorder="1" applyAlignment="1">
      <alignment wrapText="1"/>
    </xf>
    <xf numFmtId="0" fontId="27" fillId="0" borderId="2" xfId="0" applyFont="1" applyBorder="1" applyAlignment="1">
      <alignment wrapText="1"/>
    </xf>
    <xf numFmtId="0" fontId="28" fillId="0" borderId="2" xfId="0" applyFont="1" applyBorder="1" applyAlignment="1">
      <alignment wrapText="1"/>
    </xf>
    <xf numFmtId="0" fontId="27" fillId="0" borderId="2" xfId="0" applyFont="1" applyBorder="1" applyAlignment="1"/>
    <xf numFmtId="9" fontId="25" fillId="0" borderId="2" xfId="0" applyNumberFormat="1" applyFont="1" applyBorder="1" applyAlignment="1">
      <alignment wrapText="1"/>
    </xf>
    <xf numFmtId="0" fontId="25" fillId="0" borderId="2" xfId="0" applyFont="1" applyBorder="1" applyAlignment="1"/>
    <xf numFmtId="0" fontId="0" fillId="0" borderId="2" xfId="0" applyFont="1" applyBorder="1" applyAlignment="1">
      <alignment horizontal="center" vertical="center" wrapText="1"/>
    </xf>
    <xf numFmtId="9" fontId="3" fillId="0" borderId="2" xfId="0" applyNumberFormat="1" applyFont="1" applyBorder="1" applyAlignment="1">
      <alignment wrapText="1"/>
    </xf>
    <xf numFmtId="9" fontId="27" fillId="0" borderId="2" xfId="0" applyNumberFormat="1" applyFont="1" applyBorder="1" applyAlignment="1">
      <alignment wrapText="1"/>
    </xf>
    <xf numFmtId="0" fontId="0" fillId="0" borderId="2" xfId="0" applyFont="1" applyBorder="1" applyAlignment="1"/>
    <xf numFmtId="0" fontId="0" fillId="0" borderId="6" xfId="0" applyFont="1" applyBorder="1" applyAlignment="1">
      <alignment horizontal="center" wrapText="1"/>
    </xf>
    <xf numFmtId="2" fontId="0" fillId="0" borderId="2" xfId="0" applyNumberFormat="1" applyFont="1" applyBorder="1" applyAlignment="1"/>
    <xf numFmtId="169" fontId="0" fillId="0" borderId="2" xfId="0" applyNumberFormat="1" applyFont="1" applyBorder="1" applyAlignment="1"/>
    <xf numFmtId="164" fontId="0" fillId="0" borderId="2" xfId="0" applyNumberFormat="1" applyFont="1" applyBorder="1" applyAlignment="1"/>
    <xf numFmtId="0" fontId="12" fillId="0" borderId="2" xfId="0" applyFont="1" applyBorder="1" applyAlignment="1">
      <alignment vertical="center" wrapText="1"/>
    </xf>
    <xf numFmtId="0" fontId="12" fillId="0" borderId="2" xfId="0" applyFont="1" applyBorder="1" applyAlignment="1">
      <alignment vertical="center"/>
    </xf>
    <xf numFmtId="0" fontId="28" fillId="0" borderId="2" xfId="0" applyFont="1" applyBorder="1" applyAlignment="1">
      <alignment vertical="center"/>
    </xf>
    <xf numFmtId="164" fontId="25" fillId="0" borderId="2" xfId="0" applyNumberFormat="1" applyFont="1" applyBorder="1" applyAlignment="1">
      <alignment wrapText="1"/>
    </xf>
    <xf numFmtId="164" fontId="27" fillId="0" borderId="2" xfId="0" applyNumberFormat="1" applyFont="1" applyBorder="1" applyAlignment="1">
      <alignment wrapText="1"/>
    </xf>
    <xf numFmtId="164" fontId="3" fillId="0" borderId="2" xfId="0" applyNumberFormat="1" applyFont="1" applyBorder="1" applyAlignment="1">
      <alignment wrapText="1"/>
    </xf>
    <xf numFmtId="0" fontId="0" fillId="0" borderId="7" xfId="0" applyFont="1" applyBorder="1" applyAlignment="1">
      <alignment horizontal="center" vertical="center" textRotation="90" wrapText="1"/>
    </xf>
    <xf numFmtId="0" fontId="0" fillId="0" borderId="7" xfId="0" applyFont="1" applyBorder="1" applyAlignment="1">
      <alignment horizontal="center" vertical="center" textRotation="90"/>
    </xf>
    <xf numFmtId="0" fontId="15" fillId="0" borderId="2" xfId="0" applyFont="1" applyBorder="1" applyAlignment="1"/>
    <xf numFmtId="0" fontId="15" fillId="0" borderId="2" xfId="0" applyFont="1" applyBorder="1" applyAlignment="1">
      <alignment wrapText="1"/>
    </xf>
    <xf numFmtId="0" fontId="30" fillId="0" borderId="2" xfId="0" applyFont="1" applyBorder="1" applyAlignment="1">
      <alignment wrapText="1"/>
    </xf>
    <xf numFmtId="10" fontId="15" fillId="0" borderId="2" xfId="0" applyNumberFormat="1" applyFont="1" applyBorder="1" applyAlignment="1">
      <alignment wrapText="1"/>
    </xf>
    <xf numFmtId="164" fontId="15" fillId="0" borderId="2" xfId="0" applyNumberFormat="1" applyFont="1" applyBorder="1" applyAlignment="1">
      <alignment wrapText="1"/>
    </xf>
    <xf numFmtId="0" fontId="0" fillId="0" borderId="7" xfId="0" applyFont="1" applyBorder="1" applyAlignment="1">
      <alignment horizontal="center"/>
    </xf>
    <xf numFmtId="0" fontId="12" fillId="0" borderId="5" xfId="0" applyFont="1" applyBorder="1" applyAlignment="1">
      <alignment vertical="center" wrapText="1"/>
    </xf>
    <xf numFmtId="0" fontId="0" fillId="0" borderId="8" xfId="0" applyBorder="1"/>
    <xf numFmtId="0" fontId="0" fillId="0" borderId="9" xfId="0" applyBorder="1"/>
    <xf numFmtId="0" fontId="15" fillId="0" borderId="2" xfId="0" applyFont="1" applyBorder="1" applyAlignment="1">
      <alignment vertical="center" wrapText="1"/>
    </xf>
    <xf numFmtId="0" fontId="0" fillId="0" borderId="3" xfId="0" applyFont="1" applyBorder="1"/>
    <xf numFmtId="0" fontId="0" fillId="0" borderId="4" xfId="0" applyFont="1" applyBorder="1"/>
    <xf numFmtId="0" fontId="0" fillId="0" borderId="0" xfId="0" applyAlignment="1">
      <alignment vertical="top" wrapText="1"/>
    </xf>
    <xf numFmtId="0" fontId="0" fillId="0" borderId="0" xfId="0" applyAlignment="1">
      <alignment vertical="top"/>
    </xf>
    <xf numFmtId="0" fontId="0" fillId="0" borderId="2" xfId="0" applyBorder="1" applyAlignment="1">
      <alignment vertical="top" wrapText="1"/>
    </xf>
    <xf numFmtId="0" fontId="12" fillId="0" borderId="2" xfId="0" applyFont="1" applyBorder="1" applyAlignment="1">
      <alignment vertical="top" wrapText="1"/>
    </xf>
    <xf numFmtId="0" fontId="0" fillId="0" borderId="2" xfId="0" applyBorder="1" applyAlignment="1">
      <alignment vertical="top"/>
    </xf>
    <xf numFmtId="8" fontId="0" fillId="0" borderId="0" xfId="0" applyNumberFormat="1"/>
    <xf numFmtId="1" fontId="12" fillId="0" borderId="0" xfId="0" applyNumberFormat="1" applyFont="1"/>
    <xf numFmtId="2" fontId="12" fillId="0" borderId="0" xfId="0" applyNumberFormat="1" applyFont="1"/>
    <xf numFmtId="0" fontId="12" fillId="0" borderId="2" xfId="0" applyFont="1" applyBorder="1" applyAlignment="1">
      <alignment vertical="center" wrapText="1"/>
    </xf>
    <xf numFmtId="0" fontId="0" fillId="0" borderId="6" xfId="0" applyFont="1" applyBorder="1" applyAlignment="1">
      <alignment horizontal="center" wrapText="1"/>
    </xf>
    <xf numFmtId="3" fontId="13" fillId="5" borderId="0" xfId="0" applyNumberFormat="1" applyFont="1" applyFill="1"/>
    <xf numFmtId="0" fontId="0" fillId="0" borderId="0" xfId="0" applyBorder="1"/>
    <xf numFmtId="9" fontId="24" fillId="0" borderId="2" xfId="0" applyNumberFormat="1" applyFont="1" applyBorder="1" applyAlignment="1">
      <alignment wrapText="1"/>
    </xf>
    <xf numFmtId="9" fontId="12" fillId="0" borderId="2" xfId="0" applyNumberFormat="1" applyFont="1" applyBorder="1" applyAlignment="1">
      <alignment wrapText="1"/>
    </xf>
    <xf numFmtId="9" fontId="28" fillId="0" borderId="2" xfId="0" applyNumberFormat="1" applyFont="1" applyBorder="1" applyAlignment="1">
      <alignment wrapText="1"/>
    </xf>
    <xf numFmtId="164" fontId="24" fillId="0" borderId="2" xfId="0" applyNumberFormat="1" applyFont="1" applyBorder="1" applyAlignment="1">
      <alignment wrapText="1"/>
    </xf>
    <xf numFmtId="164" fontId="28" fillId="0" borderId="2" xfId="0" applyNumberFormat="1" applyFont="1" applyBorder="1" applyAlignment="1">
      <alignment wrapText="1"/>
    </xf>
    <xf numFmtId="164" fontId="20" fillId="0" borderId="2" xfId="0" applyNumberFormat="1" applyFont="1" applyBorder="1" applyAlignment="1">
      <alignment wrapText="1"/>
    </xf>
    <xf numFmtId="169" fontId="12" fillId="0" borderId="2" xfId="0" applyNumberFormat="1" applyFont="1" applyBorder="1" applyAlignment="1">
      <alignment wrapText="1"/>
    </xf>
    <xf numFmtId="1" fontId="21" fillId="0" borderId="2" xfId="0" applyNumberFormat="1" applyFont="1" applyBorder="1" applyAlignment="1">
      <alignment wrapText="1"/>
    </xf>
    <xf numFmtId="10" fontId="30" fillId="0" borderId="2" xfId="0" applyNumberFormat="1" applyFont="1" applyBorder="1" applyAlignment="1">
      <alignment wrapText="1"/>
    </xf>
    <xf numFmtId="164" fontId="30" fillId="0" borderId="2" xfId="0" applyNumberFormat="1" applyFont="1" applyBorder="1" applyAlignment="1">
      <alignment wrapText="1"/>
    </xf>
    <xf numFmtId="9" fontId="0" fillId="0" borderId="0" xfId="0" applyNumberFormat="1" applyBorder="1"/>
    <xf numFmtId="9" fontId="0" fillId="0" borderId="9" xfId="0" applyNumberFormat="1" applyBorder="1"/>
    <xf numFmtId="9" fontId="0" fillId="0" borderId="0" xfId="0" applyNumberFormat="1" applyFill="1" applyBorder="1"/>
    <xf numFmtId="0" fontId="12" fillId="0" borderId="0" xfId="0" applyFont="1" applyFill="1" applyBorder="1"/>
    <xf numFmtId="164" fontId="12" fillId="0" borderId="2" xfId="0" applyNumberFormat="1" applyFont="1" applyBorder="1" applyAlignment="1"/>
    <xf numFmtId="171" fontId="26" fillId="0" borderId="2" xfId="0" applyNumberFormat="1" applyFont="1" applyBorder="1" applyAlignment="1">
      <alignment wrapText="1"/>
    </xf>
    <xf numFmtId="171" fontId="31" fillId="0" borderId="2" xfId="0" applyNumberFormat="1" applyFont="1" applyBorder="1" applyAlignment="1">
      <alignment wrapText="1"/>
    </xf>
    <xf numFmtId="171" fontId="25" fillId="0" borderId="2" xfId="0" applyNumberFormat="1" applyFont="1" applyBorder="1" applyAlignment="1">
      <alignment wrapText="1"/>
    </xf>
    <xf numFmtId="171" fontId="24" fillId="0" borderId="2" xfId="0" applyNumberFormat="1" applyFont="1" applyBorder="1" applyAlignment="1">
      <alignment wrapText="1"/>
    </xf>
    <xf numFmtId="171" fontId="0" fillId="0" borderId="2" xfId="0" applyNumberFormat="1" applyFont="1" applyBorder="1" applyAlignment="1"/>
    <xf numFmtId="171" fontId="29" fillId="0" borderId="2" xfId="0" applyNumberFormat="1" applyFont="1" applyBorder="1" applyAlignment="1">
      <alignment wrapText="1"/>
    </xf>
    <xf numFmtId="171" fontId="32" fillId="0" borderId="2" xfId="0" applyNumberFormat="1" applyFont="1" applyBorder="1" applyAlignment="1">
      <alignment wrapText="1"/>
    </xf>
    <xf numFmtId="171" fontId="27" fillId="0" borderId="2" xfId="0" applyNumberFormat="1" applyFont="1" applyBorder="1" applyAlignment="1">
      <alignment wrapText="1"/>
    </xf>
    <xf numFmtId="171" fontId="28" fillId="0" borderId="2" xfId="0" applyNumberFormat="1" applyFont="1" applyBorder="1" applyAlignment="1">
      <alignment wrapText="1"/>
    </xf>
    <xf numFmtId="171" fontId="14" fillId="0" borderId="2" xfId="0" applyNumberFormat="1" applyFont="1" applyBorder="1" applyAlignment="1">
      <alignment wrapText="1"/>
    </xf>
    <xf numFmtId="171" fontId="21" fillId="0" borderId="2" xfId="0" applyNumberFormat="1" applyFont="1" applyBorder="1" applyAlignment="1">
      <alignment wrapText="1"/>
    </xf>
    <xf numFmtId="0" fontId="0" fillId="0" borderId="8" xfId="0" applyFont="1" applyBorder="1"/>
    <xf numFmtId="0" fontId="0" fillId="0" borderId="2" xfId="0" applyFont="1" applyBorder="1" applyAlignment="1">
      <alignment vertical="top" wrapText="1"/>
    </xf>
    <xf numFmtId="0" fontId="0" fillId="0" borderId="2" xfId="0" applyFont="1" applyBorder="1" applyAlignment="1">
      <alignment horizontal="left" vertical="top" wrapText="1"/>
    </xf>
    <xf numFmtId="43" fontId="0" fillId="0" borderId="2" xfId="0" applyNumberFormat="1" applyFont="1" applyBorder="1" applyAlignment="1">
      <alignment horizontal="left" vertical="top" wrapText="1"/>
    </xf>
    <xf numFmtId="0" fontId="12" fillId="0" borderId="8" xfId="0" applyFont="1" applyBorder="1"/>
    <xf numFmtId="9" fontId="0" fillId="0" borderId="8" xfId="0" applyNumberFormat="1" applyBorder="1"/>
    <xf numFmtId="0" fontId="0" fillId="5" borderId="0" xfId="0" applyFont="1" applyFill="1" applyBorder="1"/>
    <xf numFmtId="0" fontId="0" fillId="5" borderId="0" xfId="0" applyFill="1" applyBorder="1"/>
    <xf numFmtId="0" fontId="0" fillId="8" borderId="0" xfId="0" applyFont="1" applyFill="1" applyBorder="1"/>
    <xf numFmtId="0" fontId="12" fillId="5" borderId="0" xfId="0" applyFont="1" applyFill="1" applyBorder="1"/>
    <xf numFmtId="0" fontId="0" fillId="5" borderId="4" xfId="0" applyFill="1" applyBorder="1"/>
    <xf numFmtId="9" fontId="0" fillId="0" borderId="4" xfId="0" applyNumberFormat="1" applyBorder="1"/>
    <xf numFmtId="0" fontId="12" fillId="0" borderId="2" xfId="0" applyFont="1" applyFill="1" applyBorder="1" applyAlignment="1">
      <alignment wrapText="1"/>
    </xf>
    <xf numFmtId="0" fontId="0" fillId="0" borderId="2" xfId="0" applyFill="1" applyBorder="1"/>
    <xf numFmtId="9" fontId="0" fillId="0" borderId="2" xfId="0" applyNumberFormat="1" applyFill="1" applyBorder="1"/>
    <xf numFmtId="0" fontId="12" fillId="8" borderId="0" xfId="0" applyFont="1" applyFill="1" applyBorder="1"/>
    <xf numFmtId="0" fontId="0" fillId="8" borderId="0" xfId="0" applyFill="1" applyBorder="1"/>
    <xf numFmtId="0" fontId="0" fillId="0" borderId="2" xfId="0" applyFill="1" applyBorder="1" applyAlignment="1">
      <alignment vertical="top" wrapText="1"/>
    </xf>
    <xf numFmtId="0" fontId="0" fillId="0" borderId="2" xfId="0" applyFont="1" applyFill="1" applyBorder="1"/>
    <xf numFmtId="0" fontId="0" fillId="0" borderId="11" xfId="0" applyBorder="1"/>
    <xf numFmtId="0" fontId="0" fillId="0" borderId="4" xfId="0" applyBorder="1"/>
    <xf numFmtId="9" fontId="0" fillId="0" borderId="12" xfId="0" applyNumberFormat="1" applyBorder="1"/>
    <xf numFmtId="9" fontId="24" fillId="0" borderId="5" xfId="0" applyNumberFormat="1" applyFont="1" applyBorder="1" applyAlignment="1">
      <alignment wrapText="1"/>
    </xf>
    <xf numFmtId="0" fontId="0" fillId="0" borderId="11" xfId="0" applyFont="1" applyBorder="1"/>
    <xf numFmtId="0" fontId="0" fillId="11" borderId="8" xfId="0" applyFont="1" applyFill="1" applyBorder="1"/>
    <xf numFmtId="0" fontId="0" fillId="11" borderId="8" xfId="0" applyFill="1" applyBorder="1"/>
    <xf numFmtId="9" fontId="0" fillId="11" borderId="0" xfId="0" applyNumberFormat="1" applyFont="1" applyFill="1" applyBorder="1"/>
    <xf numFmtId="9" fontId="0" fillId="11" borderId="9" xfId="0" applyNumberFormat="1" applyFont="1" applyFill="1" applyBorder="1"/>
    <xf numFmtId="9" fontId="0" fillId="11" borderId="0" xfId="0" applyNumberFormat="1" applyFill="1" applyBorder="1"/>
    <xf numFmtId="9" fontId="0" fillId="11" borderId="9" xfId="0" applyNumberFormat="1" applyFill="1" applyBorder="1"/>
    <xf numFmtId="0" fontId="0" fillId="12" borderId="8" xfId="0" applyFont="1" applyFill="1" applyBorder="1"/>
    <xf numFmtId="9" fontId="0" fillId="12" borderId="9" xfId="0" applyNumberFormat="1" applyFill="1" applyBorder="1"/>
    <xf numFmtId="0" fontId="0" fillId="12" borderId="8" xfId="0" applyFill="1" applyBorder="1"/>
    <xf numFmtId="0" fontId="0" fillId="12" borderId="11" xfId="0" applyFill="1" applyBorder="1"/>
    <xf numFmtId="9" fontId="0" fillId="12" borderId="12" xfId="0" applyNumberFormat="1" applyFill="1" applyBorder="1"/>
    <xf numFmtId="9" fontId="12" fillId="0" borderId="2" xfId="0" applyNumberFormat="1" applyFont="1" applyFill="1" applyBorder="1"/>
    <xf numFmtId="168" fontId="12" fillId="0" borderId="2" xfId="0" applyNumberFormat="1" applyFont="1" applyFill="1" applyBorder="1"/>
    <xf numFmtId="49" fontId="3" fillId="0" borderId="0" xfId="0" applyNumberFormat="1" applyFont="1"/>
    <xf numFmtId="0" fontId="0" fillId="0" borderId="2" xfId="0" applyBorder="1" applyAlignment="1">
      <alignment wrapText="1"/>
    </xf>
    <xf numFmtId="3" fontId="0" fillId="0" borderId="2" xfId="0" applyNumberFormat="1" applyFont="1" applyBorder="1" applyAlignment="1">
      <alignment vertical="top" wrapText="1"/>
    </xf>
    <xf numFmtId="164" fontId="0" fillId="0" borderId="2" xfId="0" applyNumberFormat="1" applyFont="1" applyBorder="1" applyAlignment="1">
      <alignment vertical="top" wrapText="1"/>
    </xf>
    <xf numFmtId="1" fontId="0" fillId="0" borderId="2" xfId="0" applyNumberFormat="1" applyFont="1" applyBorder="1" applyAlignment="1">
      <alignment vertical="top" wrapText="1"/>
    </xf>
    <xf numFmtId="0" fontId="0" fillId="0" borderId="2" xfId="0" applyNumberFormat="1" applyFont="1" applyBorder="1" applyAlignment="1">
      <alignment horizontal="right" vertical="top" wrapText="1"/>
    </xf>
    <xf numFmtId="8" fontId="0" fillId="0" borderId="2" xfId="0" applyNumberFormat="1" applyBorder="1"/>
    <xf numFmtId="8" fontId="0" fillId="0" borderId="2" xfId="0" applyNumberFormat="1" applyBorder="1" applyAlignment="1">
      <alignment wrapText="1"/>
    </xf>
    <xf numFmtId="168" fontId="12" fillId="0" borderId="0" xfId="0" applyNumberFormat="1" applyFont="1"/>
    <xf numFmtId="168" fontId="12" fillId="10" borderId="0" xfId="0" applyNumberFormat="1" applyFont="1" applyFill="1" applyBorder="1"/>
    <xf numFmtId="168" fontId="12" fillId="7" borderId="0" xfId="0" applyNumberFormat="1" applyFont="1" applyFill="1" applyBorder="1"/>
    <xf numFmtId="168" fontId="12" fillId="5" borderId="0" xfId="0" applyNumberFormat="1" applyFont="1" applyFill="1"/>
    <xf numFmtId="4" fontId="0" fillId="0" borderId="0" xfId="0" applyNumberFormat="1" applyFont="1"/>
    <xf numFmtId="4" fontId="13" fillId="0" borderId="0" xfId="0" applyNumberFormat="1" applyFont="1"/>
    <xf numFmtId="0" fontId="33" fillId="0" borderId="0" xfId="0" applyFont="1"/>
    <xf numFmtId="0" fontId="12" fillId="0" borderId="2" xfId="0" applyFont="1" applyBorder="1" applyAlignment="1">
      <alignment horizontal="center" wrapText="1"/>
    </xf>
    <xf numFmtId="0" fontId="12" fillId="0" borderId="10" xfId="0" applyFont="1" applyBorder="1" applyAlignment="1">
      <alignment horizontal="center" wrapText="1"/>
    </xf>
    <xf numFmtId="0" fontId="12" fillId="0" borderId="2" xfId="0" applyFont="1" applyFill="1" applyBorder="1"/>
    <xf numFmtId="3" fontId="12" fillId="0" borderId="2" xfId="0" applyNumberFormat="1" applyFont="1" applyFill="1" applyBorder="1"/>
    <xf numFmtId="10" fontId="12" fillId="0" borderId="2" xfId="0" applyNumberFormat="1" applyFont="1" applyFill="1" applyBorder="1" applyAlignment="1">
      <alignment wrapText="1"/>
    </xf>
    <xf numFmtId="3" fontId="19" fillId="0" borderId="2" xfId="0" applyNumberFormat="1" applyFont="1" applyFill="1" applyBorder="1"/>
    <xf numFmtId="10" fontId="0" fillId="0" borderId="2" xfId="0" applyNumberFormat="1" applyFill="1" applyBorder="1" applyAlignment="1">
      <alignment wrapText="1"/>
    </xf>
    <xf numFmtId="0" fontId="20" fillId="0" borderId="2" xfId="0" applyFont="1" applyFill="1" applyBorder="1"/>
    <xf numFmtId="3" fontId="0" fillId="0" borderId="2" xfId="0" applyNumberFormat="1" applyFill="1" applyBorder="1"/>
    <xf numFmtId="170" fontId="0" fillId="0" borderId="2" xfId="0" applyNumberFormat="1" applyFill="1" applyBorder="1"/>
    <xf numFmtId="0" fontId="23" fillId="0" borderId="2" xfId="0" applyFont="1" applyFill="1" applyBorder="1"/>
    <xf numFmtId="3" fontId="23" fillId="0" borderId="2" xfId="0" applyNumberFormat="1" applyFont="1" applyFill="1" applyBorder="1"/>
    <xf numFmtId="43" fontId="0" fillId="0" borderId="2" xfId="0" applyNumberFormat="1" applyFill="1" applyBorder="1"/>
    <xf numFmtId="3" fontId="3" fillId="0" borderId="2" xfId="0" applyNumberFormat="1" applyFont="1" applyFill="1" applyBorder="1"/>
    <xf numFmtId="3" fontId="0" fillId="0" borderId="2" xfId="0" applyNumberFormat="1" applyFont="1" applyFill="1" applyBorder="1"/>
    <xf numFmtId="10" fontId="0" fillId="0" borderId="2" xfId="0" applyNumberFormat="1" applyFont="1" applyFill="1" applyBorder="1" applyAlignment="1">
      <alignment wrapText="1"/>
    </xf>
    <xf numFmtId="10" fontId="0" fillId="0" borderId="2" xfId="0" applyNumberFormat="1" applyFill="1" applyBorder="1"/>
    <xf numFmtId="1" fontId="0" fillId="0" borderId="2" xfId="0" applyNumberFormat="1" applyFill="1" applyBorder="1"/>
    <xf numFmtId="1" fontId="12" fillId="0" borderId="2" xfId="0" applyNumberFormat="1" applyFont="1" applyFill="1" applyBorder="1"/>
    <xf numFmtId="43" fontId="12" fillId="0" borderId="2" xfId="0" applyNumberFormat="1" applyFont="1" applyFill="1" applyBorder="1"/>
    <xf numFmtId="43" fontId="23" fillId="0" borderId="2" xfId="0" applyNumberFormat="1" applyFont="1" applyFill="1" applyBorder="1"/>
    <xf numFmtId="43" fontId="0" fillId="0" borderId="2" xfId="0" applyNumberFormat="1" applyFont="1" applyFill="1" applyBorder="1"/>
    <xf numFmtId="168" fontId="23" fillId="0" borderId="2" xfId="0" applyNumberFormat="1" applyFont="1" applyFill="1" applyBorder="1"/>
    <xf numFmtId="168" fontId="0" fillId="0" borderId="2" xfId="0" applyNumberFormat="1" applyFill="1" applyBorder="1"/>
    <xf numFmtId="0" fontId="12" fillId="0" borderId="0" xfId="0" applyFont="1" applyFill="1"/>
    <xf numFmtId="0" fontId="12" fillId="0" borderId="2" xfId="0" quotePrefix="1" applyFont="1" applyFill="1" applyBorder="1"/>
    <xf numFmtId="10" fontId="12" fillId="0" borderId="2" xfId="0" applyNumberFormat="1" applyFont="1" applyFill="1" applyBorder="1"/>
    <xf numFmtId="0" fontId="23" fillId="0" borderId="2" xfId="0" quotePrefix="1" applyFont="1" applyFill="1" applyBorder="1"/>
    <xf numFmtId="10" fontId="23" fillId="0" borderId="2" xfId="0" applyNumberFormat="1" applyFont="1" applyFill="1" applyBorder="1"/>
    <xf numFmtId="0" fontId="0" fillId="0" borderId="2" xfId="0" applyFill="1" applyBorder="1" applyAlignment="1"/>
    <xf numFmtId="0" fontId="0" fillId="0" borderId="2" xfId="0" quotePrefix="1" applyFont="1" applyFill="1" applyBorder="1" applyAlignment="1"/>
    <xf numFmtId="10" fontId="0" fillId="0" borderId="2" xfId="0" applyNumberFormat="1" applyFont="1" applyFill="1" applyBorder="1" applyAlignment="1"/>
    <xf numFmtId="0" fontId="0" fillId="0" borderId="0" xfId="0" quotePrefix="1" applyFill="1" applyBorder="1"/>
    <xf numFmtId="0" fontId="0" fillId="0" borderId="2" xfId="0" quotePrefix="1" applyFill="1" applyBorder="1"/>
    <xf numFmtId="9" fontId="23" fillId="0" borderId="2" xfId="0" applyNumberFormat="1" applyFont="1" applyFill="1" applyBorder="1"/>
    <xf numFmtId="10" fontId="0" fillId="0" borderId="2" xfId="0" applyNumberFormat="1" applyFont="1" applyFill="1" applyBorder="1"/>
    <xf numFmtId="2" fontId="0" fillId="0" borderId="2" xfId="0" applyNumberFormat="1" applyFill="1" applyBorder="1"/>
    <xf numFmtId="164" fontId="0" fillId="0" borderId="2" xfId="0" applyNumberFormat="1" applyFill="1" applyBorder="1"/>
    <xf numFmtId="0" fontId="12" fillId="0" borderId="2" xfId="0" applyFont="1" applyBorder="1" applyAlignment="1">
      <alignment horizont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5" fillId="0" borderId="2" xfId="0" applyFont="1" applyBorder="1" applyAlignment="1">
      <alignment horizontal="center" vertical="center" wrapText="1"/>
    </xf>
    <xf numFmtId="0" fontId="0" fillId="0" borderId="5" xfId="0" applyFont="1" applyBorder="1" applyAlignment="1">
      <alignment horizontal="center" vertical="center" textRotation="90"/>
    </xf>
    <xf numFmtId="0" fontId="0" fillId="0" borderId="6" xfId="0" applyFont="1" applyBorder="1" applyAlignment="1">
      <alignment horizontal="center" vertical="center" textRotation="90"/>
    </xf>
    <xf numFmtId="0" fontId="0" fillId="0" borderId="2" xfId="0" applyFont="1" applyBorder="1" applyAlignment="1">
      <alignment horizontal="center" vertical="center" wrapText="1"/>
    </xf>
    <xf numFmtId="0" fontId="12" fillId="0" borderId="2" xfId="0" applyFont="1" applyBorder="1" applyAlignment="1">
      <alignment vertical="center" wrapText="1"/>
    </xf>
    <xf numFmtId="0" fontId="24" fillId="0" borderId="2" xfId="0" applyFont="1" applyBorder="1" applyAlignment="1">
      <alignment vertical="center" wrapText="1"/>
    </xf>
    <xf numFmtId="0" fontId="25" fillId="0" borderId="5" xfId="0" applyFont="1" applyBorder="1" applyAlignment="1">
      <alignment horizontal="center" vertical="center" textRotation="90"/>
    </xf>
    <xf numFmtId="0" fontId="25" fillId="0" borderId="6" xfId="0" applyFont="1" applyBorder="1" applyAlignment="1">
      <alignment horizontal="center" vertical="center" textRotation="90"/>
    </xf>
    <xf numFmtId="0" fontId="0" fillId="0" borderId="5" xfId="0" applyFont="1" applyBorder="1" applyAlignment="1">
      <alignment horizontal="center" wrapText="1"/>
    </xf>
    <xf numFmtId="0" fontId="0" fillId="0" borderId="6" xfId="0" applyFont="1" applyBorder="1" applyAlignment="1">
      <alignment horizontal="center" wrapText="1"/>
    </xf>
    <xf numFmtId="0" fontId="0" fillId="0" borderId="5" xfId="0" applyFont="1" applyBorder="1" applyAlignment="1">
      <alignment horizontal="center"/>
    </xf>
    <xf numFmtId="0" fontId="0" fillId="0" borderId="6" xfId="0" applyFont="1" applyBorder="1" applyAlignment="1">
      <alignment horizontal="center"/>
    </xf>
    <xf numFmtId="0" fontId="25" fillId="0" borderId="5" xfId="0" applyFont="1" applyBorder="1" applyAlignment="1">
      <alignment horizontal="center" vertical="center" textRotation="90" wrapText="1"/>
    </xf>
    <xf numFmtId="0" fontId="25" fillId="0" borderId="7" xfId="0" applyFont="1" applyBorder="1" applyAlignment="1">
      <alignment horizontal="center" vertical="center" textRotation="90" wrapText="1"/>
    </xf>
    <xf numFmtId="0" fontId="25" fillId="0" borderId="6" xfId="0" applyFont="1" applyBorder="1" applyAlignment="1">
      <alignment horizontal="center" vertical="center" textRotation="90" wrapText="1"/>
    </xf>
    <xf numFmtId="0" fontId="27" fillId="0" borderId="5" xfId="0" applyFont="1" applyBorder="1" applyAlignment="1">
      <alignment horizontal="center" vertical="center" textRotation="90"/>
    </xf>
    <xf numFmtId="0" fontId="27" fillId="0" borderId="6" xfId="0" applyFont="1" applyBorder="1" applyAlignment="1">
      <alignment horizontal="center" vertical="center" textRotation="90"/>
    </xf>
    <xf numFmtId="0" fontId="27" fillId="0" borderId="2" xfId="0" applyFont="1" applyBorder="1" applyAlignment="1">
      <alignment horizontal="center" vertical="center" wrapText="1"/>
    </xf>
    <xf numFmtId="0" fontId="28" fillId="0" borderId="2" xfId="0" applyFont="1" applyBorder="1" applyAlignment="1">
      <alignment vertical="center" wrapText="1"/>
    </xf>
    <xf numFmtId="0" fontId="0" fillId="0" borderId="5" xfId="0" applyFont="1" applyBorder="1" applyAlignment="1">
      <alignment horizontal="center" vertical="center" textRotation="90" wrapText="1"/>
    </xf>
    <xf numFmtId="0" fontId="0" fillId="0" borderId="7" xfId="0" applyFont="1" applyBorder="1" applyAlignment="1">
      <alignment horizontal="center" vertical="center" textRotation="90" wrapText="1"/>
    </xf>
    <xf numFmtId="0" fontId="27" fillId="0" borderId="5" xfId="0" applyFont="1" applyBorder="1" applyAlignment="1">
      <alignment horizontal="center" vertical="center" textRotation="90" wrapText="1"/>
    </xf>
    <xf numFmtId="0" fontId="27" fillId="0" borderId="7" xfId="0" applyFont="1" applyBorder="1" applyAlignment="1">
      <alignment horizontal="center" vertical="center" textRotation="90" wrapText="1"/>
    </xf>
    <xf numFmtId="0" fontId="27" fillId="0" borderId="6" xfId="0" applyFont="1" applyBorder="1" applyAlignment="1">
      <alignment horizontal="center" vertical="center" textRotation="90"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cellXfs>
  <cellStyles count="7">
    <cellStyle name="Comma" xfId="1" builtinId="3"/>
    <cellStyle name="Hyperlink" xfId="2" builtinId="8"/>
    <cellStyle name="Normal" xfId="0" builtinId="0"/>
    <cellStyle name="Normal 2" xfId="3"/>
    <cellStyle name="Normal 3" xfId="5"/>
    <cellStyle name="Normal 4" xfId="6"/>
    <cellStyle name="storey" xfId="4"/>
  </cellStyles>
  <dxfs count="3">
    <dxf>
      <numFmt numFmtId="0" formatCode="General"/>
    </dxf>
    <dxf>
      <numFmt numFmtId="165" formatCode="0.0000"/>
    </dxf>
    <dxf>
      <numFmt numFmtId="2" formatCode="0.00"/>
    </dxf>
  </dxfs>
  <tableStyles count="0" defaultTableStyle="TableStyleMedium9" defaultPivotStyle="PivotStyleLight16"/>
  <colors>
    <mruColors>
      <color rgb="FFFF66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2141423</xdr:colOff>
      <xdr:row>223</xdr:row>
      <xdr:rowOff>127568</xdr:rowOff>
    </xdr:from>
    <xdr:to>
      <xdr:col>1</xdr:col>
      <xdr:colOff>3891642</xdr:colOff>
      <xdr:row>228</xdr:row>
      <xdr:rowOff>149678</xdr:rowOff>
    </xdr:to>
    <xdr:sp macro="[0]!SavingsAll" textlink="">
      <xdr:nvSpPr>
        <xdr:cNvPr id="3" name="TextBox 2"/>
        <xdr:cNvSpPr txBox="1"/>
      </xdr:nvSpPr>
      <xdr:spPr>
        <a:xfrm>
          <a:off x="2495209" y="32063532"/>
          <a:ext cx="1750219" cy="838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a:t>Export</a:t>
          </a:r>
          <a:r>
            <a:rPr lang="en-GB" sz="1600" baseline="0"/>
            <a:t> savings  &amp; RoR (all measures)</a:t>
          </a:r>
          <a:endParaRPr lang="en-GB" sz="1600"/>
        </a:p>
      </xdr:txBody>
    </xdr:sp>
    <xdr:clientData/>
  </xdr:twoCellAnchor>
  <xdr:twoCellAnchor>
    <xdr:from>
      <xdr:col>1</xdr:col>
      <xdr:colOff>2117613</xdr:colOff>
      <xdr:row>229</xdr:row>
      <xdr:rowOff>93546</xdr:rowOff>
    </xdr:from>
    <xdr:to>
      <xdr:col>1</xdr:col>
      <xdr:colOff>3939269</xdr:colOff>
      <xdr:row>234</xdr:row>
      <xdr:rowOff>52724</xdr:rowOff>
    </xdr:to>
    <xdr:sp macro="[0]!Savings" textlink="">
      <xdr:nvSpPr>
        <xdr:cNvPr id="13" name="TextBox 12"/>
        <xdr:cNvSpPr txBox="1"/>
      </xdr:nvSpPr>
      <xdr:spPr>
        <a:xfrm>
          <a:off x="2471399" y="33009225"/>
          <a:ext cx="1821656" cy="7756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a:t>Export</a:t>
          </a:r>
          <a:r>
            <a:rPr lang="en-GB" sz="1600" baseline="0"/>
            <a:t> </a:t>
          </a:r>
          <a:r>
            <a:rPr lang="en-GB" sz="1600"/>
            <a:t>savings &amp; RoR (heat)</a:t>
          </a:r>
        </a:p>
      </xdr:txBody>
    </xdr:sp>
    <xdr:clientData/>
  </xdr:twoCellAnchor>
  <xdr:twoCellAnchor>
    <xdr:from>
      <xdr:col>1</xdr:col>
      <xdr:colOff>2129517</xdr:colOff>
      <xdr:row>234</xdr:row>
      <xdr:rowOff>144576</xdr:rowOff>
    </xdr:from>
    <xdr:to>
      <xdr:col>1</xdr:col>
      <xdr:colOff>3879736</xdr:colOff>
      <xdr:row>239</xdr:row>
      <xdr:rowOff>40821</xdr:rowOff>
    </xdr:to>
    <xdr:sp macro="[0]!Savingselec" textlink="">
      <xdr:nvSpPr>
        <xdr:cNvPr id="14" name="TextBox 13"/>
        <xdr:cNvSpPr txBox="1"/>
      </xdr:nvSpPr>
      <xdr:spPr>
        <a:xfrm>
          <a:off x="2483303" y="33876683"/>
          <a:ext cx="1750219" cy="712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a:t>Export savings</a:t>
          </a:r>
          <a:r>
            <a:rPr lang="en-GB" sz="1600" baseline="0"/>
            <a:t> &amp; RoR (elec)</a:t>
          </a:r>
          <a:endParaRPr lang="en-GB"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harlie/My%20Documents/CDT/10CVP315_EnergySystemsModels/CW1/Parametric%20energy%20calculator%20v15.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getting started"/>
      <sheetName val="frontend"/>
      <sheetName val="tables"/>
      <sheetName val="worksheet"/>
      <sheetName val="embodied"/>
      <sheetName val="runs"/>
      <sheetName val="notepad"/>
      <sheetName val="defaults"/>
      <sheetName val="thermal bridging"/>
      <sheetName val="garage"/>
      <sheetName val="windows"/>
      <sheetName val="lighting"/>
      <sheetName val="heat loads"/>
      <sheetName val="drop down menus"/>
      <sheetName val="versions"/>
      <sheetName val="leakage area"/>
    </sheetNames>
    <sheetDataSet>
      <sheetData sheetId="0"/>
      <sheetData sheetId="1"/>
      <sheetData sheetId="2">
        <row r="4">
          <cell r="B4">
            <v>104</v>
          </cell>
          <cell r="M4">
            <v>0</v>
          </cell>
        </row>
        <row r="6">
          <cell r="B6">
            <v>2</v>
          </cell>
        </row>
        <row r="7">
          <cell r="B7">
            <v>0</v>
          </cell>
          <cell r="M7">
            <v>139.371361932441</v>
          </cell>
        </row>
        <row r="8">
          <cell r="B8" t="str">
            <v>house</v>
          </cell>
          <cell r="G8" t="str">
            <v>detached house</v>
          </cell>
        </row>
        <row r="10">
          <cell r="B10">
            <v>2.4</v>
          </cell>
        </row>
        <row r="11">
          <cell r="B11">
            <v>1.4</v>
          </cell>
        </row>
        <row r="12">
          <cell r="B12">
            <v>6.0944940022004408</v>
          </cell>
        </row>
        <row r="13">
          <cell r="B13">
            <v>8.5322916030806173</v>
          </cell>
        </row>
        <row r="14">
          <cell r="B14">
            <v>0.25</v>
          </cell>
        </row>
        <row r="15">
          <cell r="B15">
            <v>0.5</v>
          </cell>
        </row>
        <row r="16">
          <cell r="B16">
            <v>90</v>
          </cell>
        </row>
        <row r="18">
          <cell r="B18" t="str">
            <v>2006</v>
          </cell>
        </row>
        <row r="19">
          <cell r="B19" t="str">
            <v>2002</v>
          </cell>
        </row>
        <row r="21">
          <cell r="B21" t="str">
            <v>auto</v>
          </cell>
        </row>
        <row r="26">
          <cell r="B26">
            <v>0.35</v>
          </cell>
        </row>
        <row r="29">
          <cell r="B29">
            <v>2</v>
          </cell>
          <cell r="C29">
            <v>26</v>
          </cell>
        </row>
        <row r="33">
          <cell r="C33">
            <v>250.26785605281057</v>
          </cell>
        </row>
        <row r="34">
          <cell r="C34">
            <v>250.2678560528106</v>
          </cell>
        </row>
        <row r="37">
          <cell r="C37">
            <v>0.5</v>
          </cell>
        </row>
        <row r="38">
          <cell r="C38">
            <v>260</v>
          </cell>
        </row>
        <row r="40">
          <cell r="C40" t="str">
            <v>natural</v>
          </cell>
        </row>
        <row r="41">
          <cell r="C41" t="str">
            <v/>
          </cell>
        </row>
        <row r="44">
          <cell r="C44">
            <v>10</v>
          </cell>
        </row>
        <row r="48">
          <cell r="C48" t="str">
            <v>central</v>
          </cell>
        </row>
        <row r="49">
          <cell r="C49" t="str">
            <v>gas</v>
          </cell>
        </row>
        <row r="50">
          <cell r="C50" t="str">
            <v>electricity</v>
          </cell>
        </row>
        <row r="51">
          <cell r="C51" t="str">
            <v>boiler</v>
          </cell>
        </row>
        <row r="52">
          <cell r="C52">
            <v>78</v>
          </cell>
        </row>
        <row r="53">
          <cell r="C53">
            <v>78</v>
          </cell>
        </row>
        <row r="54">
          <cell r="C54">
            <v>100</v>
          </cell>
        </row>
        <row r="56">
          <cell r="C56">
            <v>0.3</v>
          </cell>
        </row>
        <row r="58">
          <cell r="C58">
            <v>0</v>
          </cell>
        </row>
        <row r="59">
          <cell r="C59">
            <v>100</v>
          </cell>
        </row>
        <row r="60">
          <cell r="C60" t="str">
            <v>evacuated tube</v>
          </cell>
        </row>
        <row r="61">
          <cell r="C61" t="str">
            <v>E/W</v>
          </cell>
        </row>
        <row r="62">
          <cell r="C62" t="str">
            <v>45º</v>
          </cell>
        </row>
        <row r="64">
          <cell r="C64">
            <v>0.3</v>
          </cell>
        </row>
        <row r="71">
          <cell r="C71">
            <v>0</v>
          </cell>
        </row>
        <row r="72">
          <cell r="C72">
            <v>0</v>
          </cell>
        </row>
        <row r="73">
          <cell r="C73">
            <v>1</v>
          </cell>
        </row>
        <row r="74">
          <cell r="C74" t="str">
            <v>dense</v>
          </cell>
        </row>
        <row r="77">
          <cell r="I77">
            <v>1</v>
          </cell>
        </row>
        <row r="78">
          <cell r="I78">
            <v>1</v>
          </cell>
        </row>
        <row r="79">
          <cell r="H79">
            <v>0</v>
          </cell>
        </row>
        <row r="80">
          <cell r="H80">
            <v>0</v>
          </cell>
        </row>
        <row r="83">
          <cell r="C83">
            <v>0</v>
          </cell>
        </row>
        <row r="84">
          <cell r="C84">
            <v>0</v>
          </cell>
        </row>
      </sheetData>
      <sheetData sheetId="3">
        <row r="141">
          <cell r="K141" t="str">
            <v>error</v>
          </cell>
        </row>
        <row r="465">
          <cell r="J465">
            <v>0.72</v>
          </cell>
        </row>
        <row r="466">
          <cell r="J466">
            <v>0.69</v>
          </cell>
        </row>
        <row r="481">
          <cell r="C481">
            <v>0.7</v>
          </cell>
        </row>
        <row r="491">
          <cell r="E491">
            <v>0.77</v>
          </cell>
          <cell r="F491">
            <v>0.9</v>
          </cell>
        </row>
        <row r="502">
          <cell r="A502">
            <v>0.2</v>
          </cell>
          <cell r="B502">
            <v>18.88</v>
          </cell>
          <cell r="C502">
            <v>19.32</v>
          </cell>
          <cell r="D502">
            <v>19.760000000000002</v>
          </cell>
          <cell r="E502">
            <v>20.21</v>
          </cell>
          <cell r="F502">
            <v>20.66</v>
          </cell>
        </row>
        <row r="503">
          <cell r="A503">
            <v>1</v>
          </cell>
          <cell r="B503">
            <v>18.88</v>
          </cell>
          <cell r="C503">
            <v>19.32</v>
          </cell>
          <cell r="D503">
            <v>19.760000000000002</v>
          </cell>
          <cell r="E503">
            <v>20.21</v>
          </cell>
          <cell r="F503">
            <v>20.66</v>
          </cell>
        </row>
        <row r="504">
          <cell r="A504">
            <v>1.5</v>
          </cell>
          <cell r="B504">
            <v>18.88</v>
          </cell>
          <cell r="C504">
            <v>19.309999999999999</v>
          </cell>
          <cell r="D504">
            <v>19.760000000000002</v>
          </cell>
          <cell r="E504">
            <v>20.2</v>
          </cell>
          <cell r="F504">
            <v>20.64</v>
          </cell>
        </row>
        <row r="505">
          <cell r="A505">
            <v>2</v>
          </cell>
          <cell r="B505">
            <v>18.850000000000001</v>
          </cell>
          <cell r="C505">
            <v>19.3</v>
          </cell>
          <cell r="D505">
            <v>19.75</v>
          </cell>
          <cell r="E505">
            <v>20.190000000000001</v>
          </cell>
          <cell r="F505">
            <v>20.63</v>
          </cell>
        </row>
        <row r="506">
          <cell r="A506">
            <v>2.5</v>
          </cell>
          <cell r="B506">
            <v>18.809999999999999</v>
          </cell>
          <cell r="C506">
            <v>19.260000000000002</v>
          </cell>
          <cell r="D506">
            <v>19.71</v>
          </cell>
          <cell r="E506">
            <v>20.170000000000002</v>
          </cell>
          <cell r="F506">
            <v>20.61</v>
          </cell>
        </row>
        <row r="507">
          <cell r="A507">
            <v>3</v>
          </cell>
          <cell r="B507">
            <v>18.739999999999998</v>
          </cell>
          <cell r="C507">
            <v>19.190000000000001</v>
          </cell>
          <cell r="D507">
            <v>19.66</v>
          </cell>
          <cell r="E507">
            <v>20.13</v>
          </cell>
          <cell r="F507">
            <v>20.59</v>
          </cell>
        </row>
        <row r="508">
          <cell r="A508">
            <v>3.5</v>
          </cell>
          <cell r="B508">
            <v>18.62</v>
          </cell>
          <cell r="C508">
            <v>19.100000000000001</v>
          </cell>
          <cell r="D508">
            <v>19.59</v>
          </cell>
          <cell r="E508">
            <v>20.079999999999998</v>
          </cell>
          <cell r="F508">
            <v>20.57</v>
          </cell>
        </row>
        <row r="509">
          <cell r="A509">
            <v>4</v>
          </cell>
          <cell r="B509">
            <v>18.48</v>
          </cell>
          <cell r="C509">
            <v>18.989999999999998</v>
          </cell>
          <cell r="D509">
            <v>19.510000000000002</v>
          </cell>
          <cell r="E509">
            <v>20.03</v>
          </cell>
          <cell r="F509">
            <v>20.54</v>
          </cell>
        </row>
        <row r="510">
          <cell r="A510">
            <v>4.5</v>
          </cell>
          <cell r="B510">
            <v>18.329999999999998</v>
          </cell>
          <cell r="C510">
            <v>18.86</v>
          </cell>
          <cell r="D510">
            <v>19.420000000000002</v>
          </cell>
          <cell r="E510">
            <v>19.97</v>
          </cell>
          <cell r="F510">
            <v>20.51</v>
          </cell>
        </row>
        <row r="511">
          <cell r="A511">
            <v>5</v>
          </cell>
          <cell r="B511">
            <v>18.16</v>
          </cell>
          <cell r="C511">
            <v>18.73</v>
          </cell>
          <cell r="D511">
            <v>19.32</v>
          </cell>
          <cell r="E511">
            <v>19.899999999999999</v>
          </cell>
          <cell r="F511">
            <v>20.48</v>
          </cell>
        </row>
        <row r="512">
          <cell r="A512">
            <v>5.5</v>
          </cell>
          <cell r="B512">
            <v>17.98</v>
          </cell>
          <cell r="C512">
            <v>18.59</v>
          </cell>
          <cell r="D512">
            <v>19.21</v>
          </cell>
          <cell r="E512">
            <v>19.82</v>
          </cell>
          <cell r="F512">
            <v>20.45</v>
          </cell>
        </row>
        <row r="513">
          <cell r="A513">
            <v>6</v>
          </cell>
          <cell r="B513">
            <v>17.78</v>
          </cell>
          <cell r="C513">
            <v>18.440000000000001</v>
          </cell>
          <cell r="D513">
            <v>19.079999999999998</v>
          </cell>
          <cell r="E513">
            <v>19.73</v>
          </cell>
          <cell r="F513">
            <v>20.399999999999999</v>
          </cell>
        </row>
        <row r="522">
          <cell r="A522">
            <v>0.1</v>
          </cell>
          <cell r="B522">
            <v>0.4</v>
          </cell>
          <cell r="C522">
            <v>1.41</v>
          </cell>
          <cell r="D522">
            <v>1.75</v>
          </cell>
        </row>
        <row r="523">
          <cell r="A523">
            <v>1</v>
          </cell>
          <cell r="B523">
            <v>0.4</v>
          </cell>
          <cell r="C523">
            <v>1.41</v>
          </cell>
          <cell r="D523">
            <v>1.75</v>
          </cell>
        </row>
        <row r="524">
          <cell r="A524">
            <v>1.5</v>
          </cell>
          <cell r="B524">
            <v>0.6</v>
          </cell>
          <cell r="C524">
            <v>1.49</v>
          </cell>
          <cell r="D524">
            <v>1.92</v>
          </cell>
        </row>
        <row r="525">
          <cell r="A525">
            <v>2</v>
          </cell>
          <cell r="B525">
            <v>0.79</v>
          </cell>
          <cell r="C525">
            <v>1.57</v>
          </cell>
          <cell r="D525">
            <v>2.08</v>
          </cell>
        </row>
        <row r="526">
          <cell r="A526">
            <v>2.5</v>
          </cell>
          <cell r="B526">
            <v>0.97</v>
          </cell>
          <cell r="C526">
            <v>1.65</v>
          </cell>
          <cell r="D526">
            <v>2.2200000000000002</v>
          </cell>
        </row>
        <row r="527">
          <cell r="A527">
            <v>3</v>
          </cell>
          <cell r="B527">
            <v>1.1499999999999999</v>
          </cell>
          <cell r="C527">
            <v>1.72</v>
          </cell>
          <cell r="D527">
            <v>2.35</v>
          </cell>
        </row>
        <row r="528">
          <cell r="A528">
            <v>3.5</v>
          </cell>
          <cell r="B528">
            <v>1.32</v>
          </cell>
          <cell r="C528">
            <v>1.79</v>
          </cell>
          <cell r="D528">
            <v>2.48</v>
          </cell>
        </row>
        <row r="529">
          <cell r="A529">
            <v>4</v>
          </cell>
          <cell r="B529">
            <v>1.48</v>
          </cell>
          <cell r="C529">
            <v>1.85</v>
          </cell>
          <cell r="D529">
            <v>2.61</v>
          </cell>
        </row>
        <row r="530">
          <cell r="A530">
            <v>4.5</v>
          </cell>
          <cell r="B530">
            <v>1.63</v>
          </cell>
          <cell r="C530">
            <v>1.9</v>
          </cell>
          <cell r="D530">
            <v>2.72</v>
          </cell>
        </row>
        <row r="531">
          <cell r="A531">
            <v>5</v>
          </cell>
          <cell r="B531">
            <v>1.76</v>
          </cell>
          <cell r="C531">
            <v>1.94</v>
          </cell>
          <cell r="D531">
            <v>2.83</v>
          </cell>
        </row>
        <row r="532">
          <cell r="A532">
            <v>5.5</v>
          </cell>
          <cell r="B532">
            <v>1.89</v>
          </cell>
          <cell r="C532">
            <v>1.97</v>
          </cell>
          <cell r="D532">
            <v>2.92</v>
          </cell>
        </row>
        <row r="533">
          <cell r="A533">
            <v>6</v>
          </cell>
          <cell r="B533">
            <v>2</v>
          </cell>
          <cell r="C533">
            <v>2</v>
          </cell>
          <cell r="D533">
            <v>3</v>
          </cell>
        </row>
        <row r="539">
          <cell r="A539">
            <v>1</v>
          </cell>
          <cell r="B539">
            <v>0</v>
          </cell>
        </row>
        <row r="540">
          <cell r="A540">
            <v>1.5</v>
          </cell>
          <cell r="B540">
            <v>30</v>
          </cell>
        </row>
        <row r="541">
          <cell r="A541">
            <v>2</v>
          </cell>
          <cell r="B541">
            <v>60</v>
          </cell>
        </row>
        <row r="542">
          <cell r="A542">
            <v>2.5</v>
          </cell>
          <cell r="B542">
            <v>95</v>
          </cell>
        </row>
        <row r="543">
          <cell r="A543">
            <v>3</v>
          </cell>
          <cell r="B543">
            <v>125</v>
          </cell>
        </row>
        <row r="544">
          <cell r="A544">
            <v>3.5</v>
          </cell>
          <cell r="B544">
            <v>150</v>
          </cell>
        </row>
        <row r="545">
          <cell r="A545">
            <v>4</v>
          </cell>
          <cell r="B545">
            <v>185</v>
          </cell>
        </row>
        <row r="546">
          <cell r="A546">
            <v>4.5</v>
          </cell>
          <cell r="B546">
            <v>220</v>
          </cell>
        </row>
        <row r="547">
          <cell r="A547">
            <v>5</v>
          </cell>
          <cell r="B547">
            <v>265</v>
          </cell>
        </row>
        <row r="548">
          <cell r="A548">
            <v>5.5</v>
          </cell>
          <cell r="B548">
            <v>310</v>
          </cell>
        </row>
        <row r="549">
          <cell r="A549">
            <v>6</v>
          </cell>
          <cell r="B549">
            <v>360</v>
          </cell>
        </row>
        <row r="550">
          <cell r="A550">
            <v>6.5</v>
          </cell>
          <cell r="B550">
            <v>420</v>
          </cell>
        </row>
        <row r="551">
          <cell r="A551">
            <v>7</v>
          </cell>
          <cell r="B551">
            <v>480</v>
          </cell>
        </row>
        <row r="552">
          <cell r="A552">
            <v>7.5</v>
          </cell>
          <cell r="B552">
            <v>550</v>
          </cell>
        </row>
        <row r="553">
          <cell r="A553">
            <v>8</v>
          </cell>
          <cell r="B553">
            <v>620</v>
          </cell>
        </row>
        <row r="554">
          <cell r="A554">
            <v>8.5</v>
          </cell>
          <cell r="B554">
            <v>695</v>
          </cell>
        </row>
        <row r="555">
          <cell r="A555">
            <v>9</v>
          </cell>
          <cell r="B555">
            <v>775</v>
          </cell>
        </row>
        <row r="556">
          <cell r="A556">
            <v>9.5</v>
          </cell>
          <cell r="B556">
            <v>860</v>
          </cell>
        </row>
        <row r="557">
          <cell r="A557">
            <v>10</v>
          </cell>
          <cell r="B557">
            <v>950</v>
          </cell>
        </row>
        <row r="558">
          <cell r="A558">
            <v>10.5</v>
          </cell>
          <cell r="B558">
            <v>1045</v>
          </cell>
        </row>
        <row r="559">
          <cell r="A559">
            <v>11</v>
          </cell>
          <cell r="B559">
            <v>1140</v>
          </cell>
        </row>
        <row r="560">
          <cell r="A560">
            <v>11.5</v>
          </cell>
          <cell r="B560">
            <v>1240</v>
          </cell>
        </row>
        <row r="561">
          <cell r="A561">
            <v>12</v>
          </cell>
          <cell r="B561">
            <v>1345</v>
          </cell>
        </row>
        <row r="562">
          <cell r="A562">
            <v>12.5</v>
          </cell>
          <cell r="B562">
            <v>1450</v>
          </cell>
        </row>
        <row r="563">
          <cell r="A563">
            <v>13</v>
          </cell>
          <cell r="B563">
            <v>1560</v>
          </cell>
        </row>
        <row r="564">
          <cell r="A564">
            <v>13.5</v>
          </cell>
          <cell r="B564">
            <v>1670</v>
          </cell>
        </row>
        <row r="565">
          <cell r="A565">
            <v>14</v>
          </cell>
          <cell r="B565">
            <v>1780</v>
          </cell>
        </row>
        <row r="566">
          <cell r="A566">
            <v>14.5</v>
          </cell>
          <cell r="B566">
            <v>1900</v>
          </cell>
        </row>
        <row r="567">
          <cell r="A567">
            <v>15</v>
          </cell>
          <cell r="B567">
            <v>2015</v>
          </cell>
        </row>
        <row r="568">
          <cell r="A568">
            <v>15.5</v>
          </cell>
          <cell r="B568">
            <v>2130</v>
          </cell>
        </row>
        <row r="569">
          <cell r="A569">
            <v>16</v>
          </cell>
          <cell r="B569">
            <v>2250</v>
          </cell>
        </row>
        <row r="570">
          <cell r="A570">
            <v>16.5</v>
          </cell>
          <cell r="B570">
            <v>2370</v>
          </cell>
        </row>
        <row r="571">
          <cell r="A571">
            <v>17</v>
          </cell>
          <cell r="B571">
            <v>2490</v>
          </cell>
        </row>
        <row r="572">
          <cell r="A572">
            <v>17.5</v>
          </cell>
          <cell r="B572">
            <v>2610</v>
          </cell>
        </row>
        <row r="573">
          <cell r="A573">
            <v>18</v>
          </cell>
          <cell r="B573">
            <v>2730</v>
          </cell>
        </row>
        <row r="574">
          <cell r="A574">
            <v>18.5</v>
          </cell>
          <cell r="B574">
            <v>2850</v>
          </cell>
        </row>
        <row r="575">
          <cell r="A575">
            <v>19</v>
          </cell>
          <cell r="B575">
            <v>2970</v>
          </cell>
        </row>
        <row r="576">
          <cell r="A576">
            <v>19.5</v>
          </cell>
          <cell r="B576">
            <v>3090</v>
          </cell>
        </row>
        <row r="577">
          <cell r="A577">
            <v>20</v>
          </cell>
          <cell r="B577">
            <v>3210</v>
          </cell>
        </row>
        <row r="578">
          <cell r="A578">
            <v>20.5</v>
          </cell>
          <cell r="B578">
            <v>3330</v>
          </cell>
        </row>
        <row r="599">
          <cell r="H599">
            <v>1.63</v>
          </cell>
          <cell r="I599">
            <v>0.19400000000000001</v>
          </cell>
        </row>
        <row r="600">
          <cell r="H600">
            <v>3.71</v>
          </cell>
          <cell r="I600">
            <v>0.23400000000000001</v>
          </cell>
        </row>
        <row r="603">
          <cell r="H603">
            <v>2.17</v>
          </cell>
          <cell r="I603">
            <v>0.26500000000000001</v>
          </cell>
        </row>
        <row r="606">
          <cell r="I606">
            <v>0.317</v>
          </cell>
        </row>
        <row r="610">
          <cell r="I610">
            <v>2.5000000000000001E-2</v>
          </cell>
        </row>
        <row r="614">
          <cell r="H614">
            <v>7.12</v>
          </cell>
          <cell r="I614">
            <v>0.54</v>
          </cell>
        </row>
        <row r="615">
          <cell r="H615">
            <v>7.65</v>
          </cell>
        </row>
        <row r="616">
          <cell r="H616">
            <v>2.94</v>
          </cell>
        </row>
        <row r="621">
          <cell r="I621">
            <v>0.54</v>
          </cell>
        </row>
        <row r="633">
          <cell r="G633">
            <v>0.91</v>
          </cell>
        </row>
        <row r="636">
          <cell r="K636">
            <v>0.19400000000000001</v>
          </cell>
        </row>
        <row r="637">
          <cell r="K637">
            <v>0.54</v>
          </cell>
        </row>
        <row r="669">
          <cell r="A669">
            <v>40</v>
          </cell>
          <cell r="B669">
            <v>1</v>
          </cell>
        </row>
        <row r="670">
          <cell r="A670">
            <v>60</v>
          </cell>
          <cell r="B670">
            <v>3</v>
          </cell>
        </row>
        <row r="671">
          <cell r="A671">
            <v>80</v>
          </cell>
          <cell r="B671">
            <v>4</v>
          </cell>
        </row>
        <row r="672">
          <cell r="A672">
            <v>100</v>
          </cell>
          <cell r="B672">
            <v>5</v>
          </cell>
        </row>
        <row r="673">
          <cell r="A673">
            <v>120</v>
          </cell>
          <cell r="B673">
            <v>6</v>
          </cell>
        </row>
        <row r="674">
          <cell r="A674">
            <v>140</v>
          </cell>
          <cell r="B674">
            <v>6</v>
          </cell>
        </row>
        <row r="675">
          <cell r="A675">
            <v>160</v>
          </cell>
          <cell r="B675">
            <v>7</v>
          </cell>
        </row>
        <row r="676">
          <cell r="A676">
            <v>180</v>
          </cell>
          <cell r="B676">
            <v>8</v>
          </cell>
        </row>
        <row r="677">
          <cell r="A677">
            <v>200</v>
          </cell>
          <cell r="B677">
            <v>9</v>
          </cell>
        </row>
        <row r="678">
          <cell r="A678">
            <v>220</v>
          </cell>
          <cell r="B678">
            <v>9</v>
          </cell>
        </row>
        <row r="679">
          <cell r="A679">
            <v>240</v>
          </cell>
          <cell r="B679">
            <v>10</v>
          </cell>
        </row>
        <row r="680">
          <cell r="A680">
            <v>260</v>
          </cell>
          <cell r="B680">
            <v>11</v>
          </cell>
        </row>
        <row r="681">
          <cell r="A681">
            <v>280</v>
          </cell>
          <cell r="B681">
            <v>11</v>
          </cell>
        </row>
        <row r="682">
          <cell r="A682">
            <v>300</v>
          </cell>
          <cell r="B682">
            <v>12</v>
          </cell>
        </row>
        <row r="683">
          <cell r="A683">
            <v>320</v>
          </cell>
          <cell r="B683">
            <v>12</v>
          </cell>
        </row>
        <row r="684">
          <cell r="A684">
            <v>340</v>
          </cell>
          <cell r="B684">
            <v>12</v>
          </cell>
        </row>
        <row r="685">
          <cell r="A685">
            <v>360</v>
          </cell>
          <cell r="B685">
            <v>13</v>
          </cell>
        </row>
        <row r="686">
          <cell r="A686">
            <v>380</v>
          </cell>
          <cell r="B686">
            <v>13</v>
          </cell>
        </row>
        <row r="687">
          <cell r="A687">
            <v>400</v>
          </cell>
          <cell r="B687">
            <v>13</v>
          </cell>
        </row>
        <row r="688">
          <cell r="A688">
            <v>420</v>
          </cell>
          <cell r="B688">
            <v>13</v>
          </cell>
        </row>
        <row r="697">
          <cell r="D697" t="str">
            <v>low</v>
          </cell>
          <cell r="E697" t="str">
            <v>medium</v>
          </cell>
          <cell r="F697" t="str">
            <v>high</v>
          </cell>
          <cell r="G697" t="str">
            <v>very high</v>
          </cell>
        </row>
        <row r="698">
          <cell r="D698">
            <v>0.56000000000000005</v>
          </cell>
          <cell r="E698">
            <v>0.75</v>
          </cell>
          <cell r="F698">
            <v>0.85</v>
          </cell>
          <cell r="G698">
            <v>0.9</v>
          </cell>
          <cell r="H698" t="e">
            <v>#N/A</v>
          </cell>
        </row>
        <row r="699">
          <cell r="D699">
            <v>3.4</v>
          </cell>
          <cell r="E699">
            <v>1.5</v>
          </cell>
          <cell r="F699">
            <v>1</v>
          </cell>
          <cell r="G699">
            <v>0.6</v>
          </cell>
          <cell r="H699">
            <v>0</v>
          </cell>
        </row>
        <row r="700">
          <cell r="D700">
            <v>0.8</v>
          </cell>
          <cell r="E700">
            <v>0.6</v>
          </cell>
          <cell r="F700">
            <v>0.4</v>
          </cell>
          <cell r="G700">
            <v>0.3</v>
          </cell>
        </row>
        <row r="734">
          <cell r="J734">
            <v>0.34</v>
          </cell>
        </row>
        <row r="768">
          <cell r="C768">
            <v>0.2</v>
          </cell>
        </row>
        <row r="769">
          <cell r="C769">
            <v>0.25</v>
          </cell>
        </row>
        <row r="788">
          <cell r="K788" t="str">
            <v>uninsulated</v>
          </cell>
        </row>
        <row r="792">
          <cell r="K792">
            <v>1</v>
          </cell>
        </row>
        <row r="842">
          <cell r="D842">
            <v>25.130654907226564</v>
          </cell>
        </row>
        <row r="845">
          <cell r="E845">
            <v>0.5</v>
          </cell>
        </row>
        <row r="846">
          <cell r="E846">
            <v>0.8</v>
          </cell>
        </row>
      </sheetData>
      <sheetData sheetId="4">
        <row r="36">
          <cell r="G36">
            <v>0.11538461538461539</v>
          </cell>
        </row>
        <row r="60">
          <cell r="G60">
            <v>2</v>
          </cell>
        </row>
        <row r="63">
          <cell r="G63">
            <v>0.85</v>
          </cell>
        </row>
        <row r="64">
          <cell r="G64">
            <v>0.52307692307692311</v>
          </cell>
        </row>
        <row r="79">
          <cell r="G79">
            <v>0.63680473372781066</v>
          </cell>
        </row>
        <row r="103">
          <cell r="G103">
            <v>54.637846153846155</v>
          </cell>
        </row>
        <row r="105">
          <cell r="G105">
            <v>194.00920808628717</v>
          </cell>
        </row>
        <row r="107">
          <cell r="G107">
            <v>1.8654731546758383</v>
          </cell>
        </row>
        <row r="113">
          <cell r="D113">
            <v>3.2289920000000008</v>
          </cell>
          <cell r="G113">
            <v>2151.659540352</v>
          </cell>
        </row>
        <row r="121">
          <cell r="G121">
            <v>150</v>
          </cell>
        </row>
        <row r="126">
          <cell r="C126">
            <v>35</v>
          </cell>
        </row>
        <row r="127">
          <cell r="G127">
            <v>1.9102564102564105E-2</v>
          </cell>
        </row>
        <row r="129">
          <cell r="G129">
            <v>0.92831776672255584</v>
          </cell>
        </row>
        <row r="130">
          <cell r="G130">
            <v>0.54</v>
          </cell>
        </row>
        <row r="133">
          <cell r="C133" t="str">
            <v>separate cylinder</v>
          </cell>
        </row>
        <row r="138">
          <cell r="G138">
            <v>3665.6476909148337</v>
          </cell>
        </row>
        <row r="152">
          <cell r="E152">
            <v>100</v>
          </cell>
        </row>
        <row r="163">
          <cell r="E163">
            <v>0</v>
          </cell>
        </row>
        <row r="173">
          <cell r="G173">
            <v>783.05923936325132</v>
          </cell>
        </row>
        <row r="190">
          <cell r="G190">
            <v>404.20550015999993</v>
          </cell>
          <cell r="K190">
            <v>1072.8506376</v>
          </cell>
        </row>
        <row r="192">
          <cell r="G192">
            <v>1187.2647395232511</v>
          </cell>
        </row>
        <row r="194">
          <cell r="G194">
            <v>6.1196308733717704</v>
          </cell>
        </row>
        <row r="196">
          <cell r="G196">
            <v>0.94720579656814718</v>
          </cell>
        </row>
        <row r="198">
          <cell r="G198">
            <v>1124.5840433373949</v>
          </cell>
        </row>
        <row r="217">
          <cell r="G217">
            <v>1.5484757047481343</v>
          </cell>
        </row>
        <row r="231">
          <cell r="G231">
            <v>12.33689874850365</v>
          </cell>
        </row>
        <row r="233">
          <cell r="G233">
            <v>1415.7487371857665</v>
          </cell>
        </row>
        <row r="239">
          <cell r="G239">
            <v>6592.0389924137198</v>
          </cell>
        </row>
        <row r="244">
          <cell r="G244">
            <v>0.1</v>
          </cell>
        </row>
        <row r="246">
          <cell r="G246">
            <v>78</v>
          </cell>
        </row>
        <row r="247">
          <cell r="G247">
            <v>0</v>
          </cell>
        </row>
        <row r="253">
          <cell r="G253">
            <v>7606.1988374004468</v>
          </cell>
        </row>
        <row r="254">
          <cell r="G254">
            <v>659.20389924137203</v>
          </cell>
        </row>
        <row r="262">
          <cell r="G262">
            <v>0.5</v>
          </cell>
        </row>
        <row r="263">
          <cell r="G263">
            <v>4699.5483216856837</v>
          </cell>
        </row>
        <row r="273">
          <cell r="G273">
            <v>175</v>
          </cell>
        </row>
        <row r="281">
          <cell r="E281">
            <v>1.63</v>
          </cell>
          <cell r="G281">
            <v>123.98104104962728</v>
          </cell>
        </row>
        <row r="282">
          <cell r="E282">
            <v>7.12</v>
          </cell>
          <cell r="G282">
            <v>46.935317625985689</v>
          </cell>
        </row>
        <row r="285">
          <cell r="C285" t="str">
            <v>n</v>
          </cell>
        </row>
        <row r="286">
          <cell r="C286" t="str">
            <v>n</v>
          </cell>
        </row>
        <row r="290">
          <cell r="D290">
            <v>5</v>
          </cell>
        </row>
        <row r="291">
          <cell r="D291">
            <v>95</v>
          </cell>
        </row>
        <row r="299">
          <cell r="G299">
            <v>76.602637643476641</v>
          </cell>
        </row>
        <row r="301">
          <cell r="G301">
            <v>12.46</v>
          </cell>
        </row>
        <row r="303">
          <cell r="G303">
            <v>56.590835775559363</v>
          </cell>
        </row>
        <row r="305">
          <cell r="F305">
            <v>6.1259999999999994</v>
          </cell>
          <cell r="G305">
            <v>0</v>
          </cell>
        </row>
        <row r="307">
          <cell r="G307">
            <v>0</v>
          </cell>
        </row>
        <row r="311">
          <cell r="G311">
            <v>32</v>
          </cell>
        </row>
        <row r="313">
          <cell r="G313">
            <v>348.56983209464897</v>
          </cell>
        </row>
        <row r="321">
          <cell r="G321">
            <v>1.9275070282290643</v>
          </cell>
        </row>
        <row r="351">
          <cell r="G351">
            <v>3266.9852134249895</v>
          </cell>
        </row>
        <row r="374">
          <cell r="G374">
            <v>1366.6969225133205</v>
          </cell>
        </row>
        <row r="383">
          <cell r="G383">
            <v>9.3000000000000007</v>
          </cell>
        </row>
        <row r="385">
          <cell r="G385">
            <v>0.85</v>
          </cell>
        </row>
        <row r="386">
          <cell r="G386">
            <v>8.3643385673076914E-2</v>
          </cell>
        </row>
        <row r="387">
          <cell r="G387">
            <v>0.96678721987945115</v>
          </cell>
        </row>
        <row r="389">
          <cell r="G389">
            <v>794.81510920729443</v>
          </cell>
        </row>
        <row r="393">
          <cell r="G393">
            <v>21.03922347901662</v>
          </cell>
        </row>
        <row r="398">
          <cell r="G398">
            <v>0</v>
          </cell>
        </row>
        <row r="399">
          <cell r="G399">
            <v>0.3</v>
          </cell>
        </row>
        <row r="404">
          <cell r="G404">
            <v>0</v>
          </cell>
        </row>
        <row r="408">
          <cell r="G408">
            <v>0</v>
          </cell>
        </row>
        <row r="424">
          <cell r="G424">
            <v>21.468105440418178</v>
          </cell>
        </row>
        <row r="428">
          <cell r="D428">
            <v>2</v>
          </cell>
        </row>
      </sheetData>
      <sheetData sheetId="5"/>
      <sheetData sheetId="6"/>
      <sheetData sheetId="7"/>
      <sheetData sheetId="8"/>
      <sheetData sheetId="9">
        <row r="21">
          <cell r="H21">
            <v>21.262085260121054</v>
          </cell>
        </row>
      </sheetData>
      <sheetData sheetId="10">
        <row r="3">
          <cell r="B3">
            <v>1</v>
          </cell>
        </row>
        <row r="4">
          <cell r="B4">
            <v>0</v>
          </cell>
        </row>
        <row r="5">
          <cell r="B5">
            <v>1</v>
          </cell>
        </row>
      </sheetData>
      <sheetData sheetId="11">
        <row r="3">
          <cell r="B3">
            <v>1.48</v>
          </cell>
        </row>
        <row r="4">
          <cell r="B4">
            <v>1.23</v>
          </cell>
        </row>
        <row r="8">
          <cell r="B8">
            <v>0.9</v>
          </cell>
        </row>
        <row r="9">
          <cell r="B9">
            <v>2.1</v>
          </cell>
        </row>
        <row r="15">
          <cell r="B15">
            <v>12.206108547571962</v>
          </cell>
        </row>
        <row r="16">
          <cell r="B16">
            <v>2</v>
          </cell>
        </row>
        <row r="18">
          <cell r="B18">
            <v>19.865040650406502</v>
          </cell>
        </row>
        <row r="19">
          <cell r="B19">
            <v>38.427027027027023</v>
          </cell>
        </row>
        <row r="20">
          <cell r="B20">
            <v>19.865040650406502</v>
          </cell>
        </row>
        <row r="22">
          <cell r="B22">
            <v>1.8900000000000001</v>
          </cell>
        </row>
      </sheetData>
      <sheetData sheetId="12"/>
      <sheetData sheetId="13">
        <row r="7">
          <cell r="C7">
            <v>20</v>
          </cell>
        </row>
        <row r="8">
          <cell r="C8">
            <v>-5</v>
          </cell>
        </row>
      </sheetData>
      <sheetData sheetId="14">
        <row r="33">
          <cell r="E33" t="str">
            <v>dense</v>
          </cell>
        </row>
        <row r="34">
          <cell r="E34" t="str">
            <v>low</v>
          </cell>
        </row>
        <row r="35">
          <cell r="E35" t="str">
            <v>rural</v>
          </cell>
        </row>
        <row r="37">
          <cell r="E37" t="str">
            <v>space</v>
          </cell>
        </row>
        <row r="38">
          <cell r="E38" t="str">
            <v>space &amp; water</v>
          </cell>
        </row>
        <row r="42">
          <cell r="B42">
            <v>1</v>
          </cell>
        </row>
      </sheetData>
      <sheetData sheetId="15"/>
      <sheetData sheetId="16"/>
    </sheetDataSet>
  </externalBook>
</externalLink>
</file>

<file path=xl/tables/table1.xml><?xml version="1.0" encoding="utf-8"?>
<table xmlns="http://schemas.openxmlformats.org/spreadsheetml/2006/main" id="1" name="Table1" displayName="Table1" ref="A3:C95" totalsRowShown="0">
  <autoFilter ref="A3:C95"/>
  <tableColumns count="3">
    <tableColumn id="1" name="Year"/>
    <tableColumn id="2" name="Average" dataDxfId="2"/>
    <tableColumn id="3" name="Marginal" dataDxfId="1"/>
  </tableColumns>
  <tableStyleInfo name="TableStyleLight9" showFirstColumn="0" showLastColumn="0" showRowStripes="1" showColumnStripes="0"/>
</table>
</file>

<file path=xl/tables/table2.xml><?xml version="1.0" encoding="utf-8"?>
<table xmlns="http://schemas.openxmlformats.org/spreadsheetml/2006/main" id="3" name="Table3" displayName="Table3" ref="A3:C39" totalsRowShown="0">
  <autoFilter ref="A3:C39"/>
  <tableColumns count="3">
    <tableColumn id="1" name="Fuel Type"/>
    <tableColumn id="2" name="Units"/>
    <tableColumn id="3" name="Kg CO2 per uni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DECC">
      <a:dk1>
        <a:sysClr val="windowText" lastClr="000000"/>
      </a:dk1>
      <a:lt1>
        <a:sysClr val="window" lastClr="FFFFFF"/>
      </a:lt1>
      <a:dk2>
        <a:srgbClr val="009EE3"/>
      </a:dk2>
      <a:lt2>
        <a:srgbClr val="FFFFFF"/>
      </a:lt2>
      <a:accent1>
        <a:srgbClr val="009EE3"/>
      </a:accent1>
      <a:accent2>
        <a:srgbClr val="F08015"/>
      </a:accent2>
      <a:accent3>
        <a:srgbClr val="AA0721"/>
      </a:accent3>
      <a:accent4>
        <a:srgbClr val="989B00"/>
      </a:accent4>
      <a:accent5>
        <a:srgbClr val="742F89"/>
      </a:accent5>
      <a:accent6>
        <a:srgbClr val="0066A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www.defra.gov.uk/environment/business/reporting/conversion-factors.ht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18"/>
  <sheetViews>
    <sheetView tabSelected="1" zoomScale="80" zoomScaleNormal="80" workbookViewId="0">
      <selection activeCell="A2" sqref="A2"/>
    </sheetView>
  </sheetViews>
  <sheetFormatPr defaultRowHeight="15" x14ac:dyDescent="0.2"/>
  <cols>
    <col min="1" max="1" width="138.28515625" style="41" customWidth="1"/>
    <col min="2" max="16384" width="9.140625" style="41"/>
  </cols>
  <sheetData>
    <row r="1" spans="1:8" x14ac:dyDescent="0.2">
      <c r="A1" s="42"/>
      <c r="B1" s="40"/>
      <c r="C1" s="40"/>
      <c r="D1" s="40"/>
      <c r="E1" s="40"/>
      <c r="F1" s="40"/>
      <c r="G1" s="40"/>
      <c r="H1" s="40"/>
    </row>
    <row r="2" spans="1:8" s="55" customFormat="1" ht="245.25" customHeight="1" x14ac:dyDescent="0.2">
      <c r="A2" s="95" t="s">
        <v>578</v>
      </c>
      <c r="B2" s="54"/>
      <c r="C2" s="54"/>
      <c r="D2" s="54"/>
      <c r="E2" s="54"/>
      <c r="F2" s="54"/>
      <c r="G2" s="54"/>
      <c r="H2" s="54"/>
    </row>
    <row r="3" spans="1:8" ht="259.5" customHeight="1" x14ac:dyDescent="0.2">
      <c r="A3" s="40"/>
      <c r="B3" s="40"/>
      <c r="C3" s="40"/>
      <c r="D3" s="40"/>
      <c r="E3" s="40"/>
      <c r="F3" s="40"/>
      <c r="G3" s="40"/>
      <c r="H3" s="40"/>
    </row>
    <row r="4" spans="1:8" x14ac:dyDescent="0.2">
      <c r="A4" s="40"/>
      <c r="B4" s="40"/>
      <c r="C4" s="40"/>
      <c r="D4" s="40"/>
      <c r="E4" s="40"/>
      <c r="F4" s="40"/>
      <c r="G4" s="40"/>
      <c r="H4" s="40"/>
    </row>
    <row r="5" spans="1:8" x14ac:dyDescent="0.2">
      <c r="A5" s="40"/>
      <c r="B5" s="40"/>
      <c r="C5" s="40"/>
      <c r="D5" s="40"/>
      <c r="E5" s="40"/>
      <c r="F5" s="40"/>
      <c r="G5" s="40"/>
      <c r="H5" s="40"/>
    </row>
    <row r="6" spans="1:8" x14ac:dyDescent="0.2">
      <c r="A6" s="40"/>
      <c r="B6" s="40"/>
      <c r="C6" s="40"/>
      <c r="D6" s="40"/>
      <c r="E6" s="40"/>
      <c r="F6" s="40"/>
      <c r="G6" s="40"/>
      <c r="H6" s="40"/>
    </row>
    <row r="7" spans="1:8" x14ac:dyDescent="0.2">
      <c r="A7" s="40"/>
      <c r="B7" s="40"/>
      <c r="C7" s="40"/>
      <c r="D7" s="40"/>
      <c r="E7" s="40"/>
      <c r="F7" s="40"/>
      <c r="G7" s="40"/>
      <c r="H7" s="40"/>
    </row>
    <row r="8" spans="1:8" x14ac:dyDescent="0.2">
      <c r="A8" s="40"/>
      <c r="B8" s="40"/>
      <c r="C8" s="40"/>
      <c r="D8" s="40"/>
      <c r="E8" s="40"/>
      <c r="F8" s="40"/>
      <c r="G8" s="40"/>
      <c r="H8" s="40"/>
    </row>
    <row r="9" spans="1:8" x14ac:dyDescent="0.2">
      <c r="A9" s="40"/>
      <c r="B9" s="40"/>
      <c r="C9" s="40"/>
      <c r="D9" s="40"/>
      <c r="E9" s="40"/>
      <c r="F9" s="40"/>
      <c r="G9" s="40"/>
      <c r="H9" s="40"/>
    </row>
    <row r="10" spans="1:8" x14ac:dyDescent="0.2">
      <c r="A10" s="40"/>
      <c r="B10" s="40"/>
      <c r="C10" s="40"/>
      <c r="D10" s="40"/>
      <c r="E10" s="40"/>
      <c r="F10" s="40"/>
      <c r="G10" s="40"/>
      <c r="H10" s="40"/>
    </row>
    <row r="11" spans="1:8" x14ac:dyDescent="0.2">
      <c r="A11" s="40"/>
      <c r="B11" s="40"/>
      <c r="C11" s="40"/>
      <c r="D11" s="40"/>
      <c r="E11" s="40"/>
      <c r="F11" s="40"/>
      <c r="G11" s="40"/>
      <c r="H11" s="40"/>
    </row>
    <row r="12" spans="1:8" x14ac:dyDescent="0.2">
      <c r="A12" s="40"/>
      <c r="B12" s="40"/>
      <c r="C12" s="40"/>
      <c r="D12" s="40"/>
      <c r="E12" s="40"/>
      <c r="F12" s="40"/>
      <c r="G12" s="40"/>
      <c r="H12" s="40"/>
    </row>
    <row r="13" spans="1:8" x14ac:dyDescent="0.2">
      <c r="A13" s="40"/>
      <c r="B13" s="40"/>
      <c r="C13" s="40"/>
      <c r="D13" s="40"/>
      <c r="E13" s="40"/>
      <c r="F13" s="40"/>
      <c r="G13" s="40"/>
      <c r="H13" s="40"/>
    </row>
    <row r="14" spans="1:8" x14ac:dyDescent="0.2">
      <c r="A14" s="40"/>
      <c r="B14" s="40"/>
      <c r="C14" s="40"/>
      <c r="D14" s="40"/>
      <c r="E14" s="40"/>
      <c r="F14" s="40"/>
      <c r="G14" s="40"/>
      <c r="H14" s="40"/>
    </row>
    <row r="15" spans="1:8" x14ac:dyDescent="0.2">
      <c r="A15" s="40"/>
      <c r="B15" s="40"/>
      <c r="C15" s="40"/>
      <c r="D15" s="40"/>
      <c r="E15" s="40"/>
      <c r="F15" s="40"/>
      <c r="G15" s="40"/>
      <c r="H15" s="40"/>
    </row>
    <row r="16" spans="1:8" x14ac:dyDescent="0.2">
      <c r="A16" s="40"/>
      <c r="B16" s="40"/>
      <c r="C16" s="40"/>
      <c r="D16" s="40"/>
      <c r="E16" s="40"/>
      <c r="F16" s="40"/>
      <c r="G16" s="40"/>
      <c r="H16" s="40"/>
    </row>
    <row r="17" spans="1:8" x14ac:dyDescent="0.2">
      <c r="A17" s="40"/>
      <c r="B17" s="40"/>
      <c r="C17" s="40"/>
      <c r="D17" s="40"/>
      <c r="E17" s="40"/>
      <c r="F17" s="40"/>
      <c r="G17" s="40"/>
      <c r="H17" s="40"/>
    </row>
    <row r="18" spans="1:8" x14ac:dyDescent="0.2">
      <c r="A18" s="40"/>
      <c r="B18" s="40"/>
      <c r="C18" s="40"/>
      <c r="D18" s="40"/>
      <c r="E18" s="40"/>
      <c r="F18" s="40"/>
      <c r="G18" s="40"/>
      <c r="H18" s="40"/>
    </row>
  </sheetData>
  <pageMargins left="0.75" right="0.75" top="1" bottom="1" header="0.5" footer="0.5"/>
  <pageSetup paperSize="9" orientation="portrait" horizontalDpi="4294967293"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63"/>
  <sheetViews>
    <sheetView workbookViewId="0">
      <selection activeCell="K23" sqref="K23"/>
    </sheetView>
  </sheetViews>
  <sheetFormatPr defaultRowHeight="12.75" x14ac:dyDescent="0.2"/>
  <cols>
    <col min="1" max="1" width="20.28515625" customWidth="1"/>
    <col min="3" max="3" width="17.85546875" customWidth="1"/>
  </cols>
  <sheetData>
    <row r="1" spans="1:3" ht="18.75" x14ac:dyDescent="0.35">
      <c r="A1" s="9" t="s">
        <v>54</v>
      </c>
    </row>
    <row r="3" spans="1:3" ht="15.75" x14ac:dyDescent="0.3">
      <c r="A3" t="s">
        <v>53</v>
      </c>
      <c r="B3" t="s">
        <v>4</v>
      </c>
      <c r="C3" t="s">
        <v>69</v>
      </c>
    </row>
    <row r="4" spans="1:3" x14ac:dyDescent="0.2">
      <c r="A4" t="s">
        <v>62</v>
      </c>
      <c r="B4" t="s">
        <v>9</v>
      </c>
      <c r="C4">
        <v>3149.7</v>
      </c>
    </row>
    <row r="5" spans="1:3" x14ac:dyDescent="0.2">
      <c r="B5" t="s">
        <v>5</v>
      </c>
      <c r="C5">
        <v>0.24554999999999999</v>
      </c>
    </row>
    <row r="6" spans="1:3" x14ac:dyDescent="0.2">
      <c r="B6" t="s">
        <v>10</v>
      </c>
      <c r="C6">
        <v>2.5318999999999998</v>
      </c>
    </row>
    <row r="7" spans="1:3" x14ac:dyDescent="0.2">
      <c r="A7" t="s">
        <v>6</v>
      </c>
      <c r="B7" t="s">
        <v>5</v>
      </c>
      <c r="C7" s="11">
        <v>0.18357999999999999</v>
      </c>
    </row>
    <row r="8" spans="1:3" x14ac:dyDescent="0.2">
      <c r="B8" t="s">
        <v>7</v>
      </c>
      <c r="C8" s="11">
        <v>5.3800999999999997</v>
      </c>
    </row>
    <row r="9" spans="1:3" x14ac:dyDescent="0.2">
      <c r="A9" t="s">
        <v>8</v>
      </c>
      <c r="B9" t="s">
        <v>9</v>
      </c>
      <c r="C9" s="11">
        <v>3190</v>
      </c>
    </row>
    <row r="10" spans="1:3" x14ac:dyDescent="0.2">
      <c r="B10" t="s">
        <v>5</v>
      </c>
      <c r="C10" s="11">
        <v>0.25214999999999999</v>
      </c>
    </row>
    <row r="11" spans="1:3" x14ac:dyDescent="0.2">
      <c r="B11" t="s">
        <v>10</v>
      </c>
      <c r="C11" s="11">
        <v>2.7618999999999998</v>
      </c>
    </row>
    <row r="12" spans="1:3" x14ac:dyDescent="0.2">
      <c r="A12" t="s">
        <v>11</v>
      </c>
      <c r="B12" t="s">
        <v>9</v>
      </c>
      <c r="C12" s="11">
        <v>3215.9</v>
      </c>
    </row>
    <row r="13" spans="1:3" x14ac:dyDescent="0.2">
      <c r="B13" t="s">
        <v>10</v>
      </c>
      <c r="C13" s="11">
        <v>3.1435972629521016</v>
      </c>
    </row>
    <row r="14" spans="1:3" x14ac:dyDescent="0.2">
      <c r="B14" t="s">
        <v>5</v>
      </c>
      <c r="C14" s="11">
        <v>0.26529999999999998</v>
      </c>
    </row>
    <row r="15" spans="1:3" x14ac:dyDescent="0.2">
      <c r="A15" t="s">
        <v>12</v>
      </c>
      <c r="B15" t="s">
        <v>9</v>
      </c>
      <c r="C15" s="11">
        <v>2301</v>
      </c>
    </row>
    <row r="16" spans="1:3" x14ac:dyDescent="0.2">
      <c r="B16" t="s">
        <v>5</v>
      </c>
      <c r="C16" s="11">
        <v>0.30793999999999999</v>
      </c>
    </row>
    <row r="17" spans="1:3" x14ac:dyDescent="0.2">
      <c r="A17" t="s">
        <v>13</v>
      </c>
      <c r="B17" t="s">
        <v>9</v>
      </c>
      <c r="C17" s="11">
        <v>2506.3000000000002</v>
      </c>
    </row>
    <row r="18" spans="1:3" x14ac:dyDescent="0.2">
      <c r="B18" t="s">
        <v>5</v>
      </c>
      <c r="C18" s="11">
        <v>0.29582000000000003</v>
      </c>
    </row>
    <row r="19" spans="1:3" x14ac:dyDescent="0.2">
      <c r="A19" t="s">
        <v>14</v>
      </c>
      <c r="B19" t="s">
        <v>5</v>
      </c>
      <c r="C19" s="11">
        <v>0.21418999999999999</v>
      </c>
    </row>
    <row r="20" spans="1:3" x14ac:dyDescent="0.2">
      <c r="B20" t="s">
        <v>7</v>
      </c>
      <c r="C20" s="11">
        <v>6.2773000000000003</v>
      </c>
    </row>
    <row r="21" spans="1:3" x14ac:dyDescent="0.2">
      <c r="B21" t="s">
        <v>10</v>
      </c>
      <c r="C21" s="11">
        <v>1.4951000000000001</v>
      </c>
    </row>
    <row r="22" spans="1:3" x14ac:dyDescent="0.2">
      <c r="A22" t="s">
        <v>15</v>
      </c>
      <c r="B22" t="s">
        <v>9</v>
      </c>
      <c r="C22" s="11">
        <v>2931.5</v>
      </c>
    </row>
    <row r="23" spans="1:3" x14ac:dyDescent="0.2">
      <c r="B23" t="s">
        <v>5</v>
      </c>
      <c r="C23" s="11">
        <v>0.34600999999999998</v>
      </c>
    </row>
    <row r="24" spans="1:3" x14ac:dyDescent="0.2">
      <c r="A24" t="s">
        <v>16</v>
      </c>
      <c r="B24" t="s">
        <v>9</v>
      </c>
      <c r="C24" s="11">
        <v>3127.7</v>
      </c>
    </row>
    <row r="25" spans="1:3" x14ac:dyDescent="0.2">
      <c r="B25" t="s">
        <v>5</v>
      </c>
      <c r="C25" s="11">
        <v>0.23771</v>
      </c>
    </row>
    <row r="26" spans="1:3" x14ac:dyDescent="0.2">
      <c r="B26" t="s">
        <v>10</v>
      </c>
      <c r="C26" s="11">
        <v>2.2261000000000002</v>
      </c>
    </row>
    <row r="27" spans="1:3" x14ac:dyDescent="0.2">
      <c r="A27" t="s">
        <v>17</v>
      </c>
      <c r="B27" t="s">
        <v>9</v>
      </c>
      <c r="C27" s="11">
        <v>3149.7</v>
      </c>
    </row>
    <row r="28" spans="1:3" x14ac:dyDescent="0.2">
      <c r="B28" t="s">
        <v>5</v>
      </c>
      <c r="C28" s="11">
        <v>0.24545</v>
      </c>
    </row>
    <row r="29" spans="1:3" x14ac:dyDescent="0.2">
      <c r="B29" t="s">
        <v>10</v>
      </c>
      <c r="C29" s="11">
        <v>2.5278</v>
      </c>
    </row>
    <row r="30" spans="1:3" x14ac:dyDescent="0.2">
      <c r="A30" t="s">
        <v>18</v>
      </c>
      <c r="B30" t="s">
        <v>9</v>
      </c>
      <c r="C30" s="11">
        <v>2894</v>
      </c>
    </row>
    <row r="31" spans="1:3" x14ac:dyDescent="0.2">
      <c r="B31" t="s">
        <v>5</v>
      </c>
      <c r="C31" s="11">
        <v>0.20568</v>
      </c>
    </row>
    <row r="32" spans="1:3" x14ac:dyDescent="0.2">
      <c r="A32" t="s">
        <v>19</v>
      </c>
      <c r="B32" t="s">
        <v>9</v>
      </c>
      <c r="C32" s="11">
        <v>3131.3</v>
      </c>
    </row>
    <row r="33" spans="1:3" x14ac:dyDescent="0.2">
      <c r="B33" t="s">
        <v>5</v>
      </c>
      <c r="C33" s="11">
        <v>0.2374</v>
      </c>
    </row>
    <row r="34" spans="1:3" x14ac:dyDescent="0.2">
      <c r="A34" t="s">
        <v>20</v>
      </c>
      <c r="B34" t="s">
        <v>9</v>
      </c>
      <c r="C34" s="11">
        <v>3171.1</v>
      </c>
    </row>
    <row r="35" spans="1:3" x14ac:dyDescent="0.2">
      <c r="B35" t="s">
        <v>5</v>
      </c>
      <c r="C35" s="11">
        <v>0.26161000000000001</v>
      </c>
    </row>
    <row r="36" spans="1:3" x14ac:dyDescent="0.2">
      <c r="A36" t="s">
        <v>21</v>
      </c>
      <c r="B36" t="s">
        <v>9</v>
      </c>
      <c r="C36" s="11">
        <v>3422.7</v>
      </c>
    </row>
    <row r="37" spans="1:3" x14ac:dyDescent="0.2">
      <c r="B37" t="s">
        <v>5</v>
      </c>
      <c r="C37" s="11">
        <v>0.34486</v>
      </c>
    </row>
    <row r="38" spans="1:3" x14ac:dyDescent="0.2">
      <c r="A38" t="s">
        <v>22</v>
      </c>
      <c r="B38" t="s">
        <v>5</v>
      </c>
      <c r="C38" s="11">
        <v>0.24443999999999999</v>
      </c>
    </row>
    <row r="39" spans="1:3" x14ac:dyDescent="0.2">
      <c r="B39" t="s">
        <v>7</v>
      </c>
      <c r="C39" s="11">
        <v>7.1639999999999997</v>
      </c>
    </row>
    <row r="41" spans="1:3" x14ac:dyDescent="0.2">
      <c r="A41" s="1" t="s">
        <v>3</v>
      </c>
    </row>
    <row r="46" spans="1:3" ht="12.75" customHeight="1" x14ac:dyDescent="0.2"/>
    <row r="51" ht="12.75" customHeight="1" x14ac:dyDescent="0.2"/>
    <row r="63" ht="12.75" customHeight="1" x14ac:dyDescent="0.2"/>
  </sheetData>
  <hyperlinks>
    <hyperlink ref="A41" r:id="rId1"/>
  </hyperlinks>
  <pageMargins left="0.7" right="0.7" top="0.75" bottom="0.75" header="0.3" footer="0.3"/>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P53"/>
  <sheetViews>
    <sheetView zoomScale="90" zoomScaleNormal="90" workbookViewId="0">
      <pane xSplit="2" ySplit="3" topLeftCell="C4" activePane="bottomRight" state="frozen"/>
      <selection pane="topRight" activeCell="C1" sqref="C1"/>
      <selection pane="bottomLeft" activeCell="A4" sqref="A4"/>
      <selection pane="bottomRight" activeCell="C17" sqref="C17"/>
    </sheetView>
  </sheetViews>
  <sheetFormatPr defaultRowHeight="12.75" x14ac:dyDescent="0.2"/>
  <cols>
    <col min="1" max="1" width="35.85546875" style="2" customWidth="1"/>
    <col min="2" max="2" width="10.5703125" style="33" customWidth="1"/>
    <col min="3" max="22" width="9.140625" style="2"/>
    <col min="23" max="23" width="9.140625" style="6"/>
    <col min="24" max="16384" width="9.140625" style="2"/>
  </cols>
  <sheetData>
    <row r="1" spans="1:93" ht="15.75" x14ac:dyDescent="0.25">
      <c r="A1" s="12" t="s">
        <v>56</v>
      </c>
    </row>
    <row r="2" spans="1:93" s="3" customFormat="1" ht="15.75" x14ac:dyDescent="0.25">
      <c r="B2" s="34"/>
      <c r="C2" s="13">
        <v>2010</v>
      </c>
      <c r="D2" s="13">
        <v>2011</v>
      </c>
      <c r="E2" s="13">
        <v>2012</v>
      </c>
      <c r="F2" s="13">
        <v>2013</v>
      </c>
      <c r="G2" s="13">
        <v>2014</v>
      </c>
      <c r="H2" s="13">
        <v>2015</v>
      </c>
      <c r="I2" s="13">
        <v>2016</v>
      </c>
      <c r="J2" s="13">
        <v>2017</v>
      </c>
      <c r="K2" s="13">
        <v>2018</v>
      </c>
      <c r="L2" s="13">
        <v>2019</v>
      </c>
      <c r="M2" s="13">
        <v>2020</v>
      </c>
      <c r="N2" s="13">
        <v>2021</v>
      </c>
      <c r="O2" s="13">
        <v>2022</v>
      </c>
      <c r="P2" s="13">
        <v>2023</v>
      </c>
      <c r="Q2" s="13">
        <v>2024</v>
      </c>
      <c r="R2" s="13">
        <v>2025</v>
      </c>
      <c r="S2" s="13">
        <v>2026</v>
      </c>
      <c r="T2" s="13">
        <v>2027</v>
      </c>
      <c r="U2" s="13">
        <v>2028</v>
      </c>
      <c r="V2" s="13">
        <v>2029</v>
      </c>
      <c r="W2" s="13">
        <v>2030</v>
      </c>
      <c r="X2" s="13">
        <v>2031</v>
      </c>
      <c r="Y2" s="13">
        <v>2032</v>
      </c>
      <c r="Z2" s="13">
        <v>2033</v>
      </c>
      <c r="AA2" s="13">
        <v>2034</v>
      </c>
      <c r="AB2" s="13">
        <v>2035</v>
      </c>
      <c r="AC2" s="13">
        <v>2036</v>
      </c>
      <c r="AD2" s="13">
        <v>2037</v>
      </c>
      <c r="AE2" s="13">
        <v>2038</v>
      </c>
      <c r="AF2" s="13">
        <v>2039</v>
      </c>
      <c r="AG2" s="13">
        <v>2040</v>
      </c>
      <c r="AH2" s="13">
        <v>2041</v>
      </c>
      <c r="AI2" s="13">
        <v>2042</v>
      </c>
      <c r="AJ2" s="13">
        <v>2043</v>
      </c>
      <c r="AK2" s="13">
        <v>2044</v>
      </c>
      <c r="AL2" s="13">
        <v>2045</v>
      </c>
      <c r="AM2" s="13">
        <v>2046</v>
      </c>
      <c r="AN2" s="13">
        <v>2047</v>
      </c>
      <c r="AO2" s="13">
        <v>2048</v>
      </c>
      <c r="AP2" s="13">
        <v>2049</v>
      </c>
      <c r="AQ2" s="13">
        <v>2050</v>
      </c>
      <c r="AR2" s="13">
        <v>2051</v>
      </c>
      <c r="AS2" s="13">
        <v>2052</v>
      </c>
      <c r="AT2" s="13">
        <v>2053</v>
      </c>
      <c r="AU2" s="13">
        <v>2054</v>
      </c>
      <c r="AV2" s="13">
        <v>2055</v>
      </c>
      <c r="AW2" s="13">
        <v>2056</v>
      </c>
      <c r="AX2" s="13">
        <v>2057</v>
      </c>
      <c r="AY2" s="13">
        <v>2058</v>
      </c>
      <c r="AZ2" s="13">
        <v>2059</v>
      </c>
      <c r="BA2" s="13">
        <v>2060</v>
      </c>
      <c r="BB2" s="13">
        <v>2061</v>
      </c>
      <c r="BC2" s="13">
        <v>2062</v>
      </c>
      <c r="BD2" s="13">
        <v>2063</v>
      </c>
      <c r="BE2" s="13">
        <v>2064</v>
      </c>
      <c r="BF2" s="13">
        <v>2065</v>
      </c>
      <c r="BG2" s="13">
        <v>2066</v>
      </c>
      <c r="BH2" s="13">
        <v>2067</v>
      </c>
      <c r="BI2" s="13">
        <v>2068</v>
      </c>
      <c r="BJ2" s="13">
        <v>2069</v>
      </c>
      <c r="BK2" s="13">
        <v>2070</v>
      </c>
      <c r="BL2" s="13">
        <v>2071</v>
      </c>
      <c r="BM2" s="13">
        <v>2072</v>
      </c>
      <c r="BN2" s="13">
        <v>2073</v>
      </c>
      <c r="BO2" s="13">
        <v>2074</v>
      </c>
      <c r="BP2" s="13">
        <v>2075</v>
      </c>
      <c r="BQ2" s="13">
        <v>2076</v>
      </c>
      <c r="BR2" s="13">
        <v>2077</v>
      </c>
      <c r="BS2" s="13">
        <v>2078</v>
      </c>
      <c r="BT2" s="13">
        <v>2079</v>
      </c>
      <c r="BU2" s="13">
        <v>2080</v>
      </c>
      <c r="BV2" s="13">
        <v>2081</v>
      </c>
      <c r="BW2" s="13">
        <v>2082</v>
      </c>
      <c r="BX2" s="13">
        <v>2083</v>
      </c>
      <c r="BY2" s="13">
        <v>2084</v>
      </c>
      <c r="BZ2" s="13">
        <v>2085</v>
      </c>
      <c r="CA2" s="13">
        <v>2086</v>
      </c>
      <c r="CB2" s="13">
        <v>2087</v>
      </c>
      <c r="CC2" s="13">
        <v>2088</v>
      </c>
      <c r="CD2" s="13">
        <v>2089</v>
      </c>
      <c r="CE2" s="13">
        <v>2090</v>
      </c>
      <c r="CF2" s="13">
        <v>2091</v>
      </c>
      <c r="CG2" s="13">
        <v>2092</v>
      </c>
      <c r="CH2" s="13">
        <v>2093</v>
      </c>
      <c r="CI2" s="13">
        <v>2094</v>
      </c>
      <c r="CJ2" s="13">
        <v>2095</v>
      </c>
      <c r="CK2" s="13">
        <v>2096</v>
      </c>
      <c r="CL2" s="13">
        <v>2097</v>
      </c>
      <c r="CM2" s="13">
        <v>2098</v>
      </c>
      <c r="CN2" s="13">
        <v>2099</v>
      </c>
      <c r="CO2" s="13">
        <v>2100</v>
      </c>
    </row>
    <row r="4" spans="1:93" x14ac:dyDescent="0.2">
      <c r="A4" s="4" t="s">
        <v>25</v>
      </c>
      <c r="B4" s="5" t="s">
        <v>26</v>
      </c>
      <c r="C4" s="19">
        <v>11.627751415885864</v>
      </c>
      <c r="D4" s="19">
        <v>11.990340165972022</v>
      </c>
      <c r="E4" s="19">
        <v>12.543113340854203</v>
      </c>
      <c r="F4" s="19">
        <v>12.352206147785584</v>
      </c>
      <c r="G4" s="19">
        <v>12.917940967023</v>
      </c>
      <c r="H4" s="19">
        <v>13.310355954491662</v>
      </c>
      <c r="I4" s="19">
        <v>13.63810727383864</v>
      </c>
      <c r="J4" s="19">
        <v>14.021993595690656</v>
      </c>
      <c r="K4" s="19">
        <v>14.475458409918005</v>
      </c>
      <c r="L4" s="19">
        <v>14.763794766132701</v>
      </c>
      <c r="M4" s="19">
        <v>15.104604098937935</v>
      </c>
      <c r="N4" s="19">
        <v>15.309340258288909</v>
      </c>
      <c r="O4" s="19">
        <v>15.767093497600339</v>
      </c>
      <c r="P4" s="19">
        <v>16.349114695246939</v>
      </c>
      <c r="Q4" s="19">
        <v>16.962214928615214</v>
      </c>
      <c r="R4" s="19">
        <v>19.122232003547072</v>
      </c>
      <c r="S4" s="19">
        <v>20.353010002676736</v>
      </c>
      <c r="T4" s="19">
        <v>20.824447654615998</v>
      </c>
      <c r="U4" s="19">
        <v>21.184916284435872</v>
      </c>
      <c r="V4" s="19">
        <v>21.470217013905661</v>
      </c>
      <c r="W4" s="26">
        <v>21.810737239401853</v>
      </c>
      <c r="X4" s="19">
        <v>21.810737239401853</v>
      </c>
      <c r="Y4" s="19">
        <v>21.810737239401853</v>
      </c>
      <c r="Z4" s="19">
        <v>21.810737239401853</v>
      </c>
      <c r="AA4" s="19">
        <v>21.810737239401853</v>
      </c>
      <c r="AB4" s="19">
        <v>21.810737239401853</v>
      </c>
      <c r="AC4" s="19">
        <v>21.810737239401853</v>
      </c>
      <c r="AD4" s="19">
        <v>21.810737239401853</v>
      </c>
      <c r="AE4" s="19">
        <v>21.810737239401853</v>
      </c>
      <c r="AF4" s="19">
        <v>21.810737239401853</v>
      </c>
      <c r="AG4" s="19">
        <v>21.810737239401853</v>
      </c>
      <c r="AH4" s="19">
        <v>21.810737239401853</v>
      </c>
      <c r="AI4" s="19">
        <v>21.810737239401853</v>
      </c>
      <c r="AJ4" s="19">
        <v>21.810737239401853</v>
      </c>
      <c r="AK4" s="19">
        <v>21.810737239401853</v>
      </c>
      <c r="AL4" s="19">
        <v>21.810737239401853</v>
      </c>
      <c r="AM4" s="19">
        <v>21.810737239401853</v>
      </c>
      <c r="AN4" s="19">
        <v>21.810737239401853</v>
      </c>
      <c r="AO4" s="19">
        <v>21.810737239401853</v>
      </c>
      <c r="AP4" s="19">
        <v>21.810737239401853</v>
      </c>
      <c r="AQ4" s="19">
        <v>21.810737239401853</v>
      </c>
      <c r="AR4" s="19">
        <v>21.810737239401853</v>
      </c>
      <c r="AS4" s="19">
        <v>21.810737239401853</v>
      </c>
      <c r="AT4" s="19">
        <v>21.810737239401853</v>
      </c>
      <c r="AU4" s="19">
        <v>21.810737239401853</v>
      </c>
      <c r="AV4" s="19">
        <v>21.810737239401853</v>
      </c>
      <c r="AW4" s="19">
        <v>21.810737239401853</v>
      </c>
      <c r="AX4" s="19">
        <v>21.810737239401853</v>
      </c>
      <c r="AY4" s="19">
        <v>21.810737239401853</v>
      </c>
      <c r="AZ4" s="19">
        <v>21.810737239401853</v>
      </c>
      <c r="BA4" s="19">
        <v>21.810737239401853</v>
      </c>
      <c r="BB4" s="19">
        <v>21.810737239401853</v>
      </c>
      <c r="BC4" s="19">
        <v>21.810737239401853</v>
      </c>
      <c r="BD4" s="19">
        <v>21.810737239401853</v>
      </c>
      <c r="BE4" s="19">
        <v>21.810737239401853</v>
      </c>
      <c r="BF4" s="19">
        <v>21.810737239401853</v>
      </c>
      <c r="BG4" s="19">
        <v>21.810737239401853</v>
      </c>
      <c r="BH4" s="19">
        <v>21.810737239401853</v>
      </c>
      <c r="BI4" s="19">
        <v>21.810737239401853</v>
      </c>
      <c r="BJ4" s="19">
        <v>21.810737239401853</v>
      </c>
      <c r="BK4" s="19">
        <v>21.810737239401853</v>
      </c>
      <c r="BL4" s="19">
        <v>21.810737239401853</v>
      </c>
      <c r="BM4" s="19">
        <v>21.810737239401853</v>
      </c>
      <c r="BN4" s="19">
        <v>21.810737239401853</v>
      </c>
      <c r="BO4" s="19">
        <v>21.810737239401853</v>
      </c>
      <c r="BP4" s="19">
        <v>21.810737239401853</v>
      </c>
      <c r="BQ4" s="19">
        <v>21.810737239401853</v>
      </c>
      <c r="BR4" s="19">
        <v>21.810737239401853</v>
      </c>
      <c r="BS4" s="19">
        <v>21.810737239401853</v>
      </c>
      <c r="BT4" s="19">
        <v>21.810737239401853</v>
      </c>
      <c r="BU4" s="19">
        <v>21.810737239401853</v>
      </c>
      <c r="BV4" s="19">
        <v>21.810737239401853</v>
      </c>
      <c r="BW4" s="19">
        <v>21.810737239401853</v>
      </c>
      <c r="BX4" s="19">
        <v>21.810737239401853</v>
      </c>
      <c r="BY4" s="19">
        <v>21.810737239401853</v>
      </c>
      <c r="BZ4" s="19">
        <v>21.810737239401853</v>
      </c>
      <c r="CA4" s="19">
        <v>21.810737239401853</v>
      </c>
      <c r="CB4" s="19">
        <v>21.810737239401853</v>
      </c>
      <c r="CC4" s="19">
        <v>21.810737239401853</v>
      </c>
      <c r="CD4" s="19">
        <v>21.810737239401853</v>
      </c>
      <c r="CE4" s="19">
        <v>21.810737239401853</v>
      </c>
      <c r="CF4" s="19">
        <v>21.810737239401853</v>
      </c>
      <c r="CG4" s="19">
        <v>21.810737239401853</v>
      </c>
      <c r="CH4" s="19">
        <v>21.810737239401853</v>
      </c>
      <c r="CI4" s="19">
        <v>21.810737239401853</v>
      </c>
      <c r="CJ4" s="19">
        <v>21.810737239401853</v>
      </c>
      <c r="CK4" s="19">
        <v>21.810737239401853</v>
      </c>
      <c r="CL4" s="19">
        <v>21.810737239401853</v>
      </c>
      <c r="CM4" s="19">
        <v>21.810737239401853</v>
      </c>
      <c r="CN4" s="19">
        <v>21.810737239401853</v>
      </c>
      <c r="CO4" s="19">
        <v>21.810737239401853</v>
      </c>
    </row>
    <row r="5" spans="1:93" x14ac:dyDescent="0.2">
      <c r="A5" s="4" t="s">
        <v>27</v>
      </c>
      <c r="B5" s="5" t="s">
        <v>26</v>
      </c>
      <c r="C5" s="19">
        <v>10.014339837370438</v>
      </c>
      <c r="D5" s="19">
        <v>10.253561604421568</v>
      </c>
      <c r="E5" s="19">
        <v>10.608193697192275</v>
      </c>
      <c r="F5" s="19">
        <v>10.868733295108804</v>
      </c>
      <c r="G5" s="19">
        <v>11.243055502595086</v>
      </c>
      <c r="H5" s="19">
        <v>11.617115175218494</v>
      </c>
      <c r="I5" s="19">
        <v>11.973217463221298</v>
      </c>
      <c r="J5" s="19">
        <v>12.346226996393204</v>
      </c>
      <c r="K5" s="19">
        <v>12.849243793660508</v>
      </c>
      <c r="L5" s="19">
        <v>13.235380069976138</v>
      </c>
      <c r="M5" s="19">
        <v>13.601563696713315</v>
      </c>
      <c r="N5" s="19">
        <v>14.025137444474833</v>
      </c>
      <c r="O5" s="19">
        <v>14.497752704621279</v>
      </c>
      <c r="P5" s="19">
        <v>15.097749880234375</v>
      </c>
      <c r="Q5" s="19">
        <v>15.730511406734191</v>
      </c>
      <c r="R5" s="19">
        <v>17.969933787052607</v>
      </c>
      <c r="S5" s="19">
        <v>19.24532815089632</v>
      </c>
      <c r="T5" s="19">
        <v>19.736005809608525</v>
      </c>
      <c r="U5" s="19">
        <v>20.112218268107497</v>
      </c>
      <c r="V5" s="19">
        <v>20.411823053619738</v>
      </c>
      <c r="W5" s="26">
        <v>20.769080495019189</v>
      </c>
      <c r="X5" s="19">
        <v>20.769080495019189</v>
      </c>
      <c r="Y5" s="19">
        <v>20.769080495019189</v>
      </c>
      <c r="Z5" s="19">
        <v>20.769080495019189</v>
      </c>
      <c r="AA5" s="19">
        <v>20.769080495019189</v>
      </c>
      <c r="AB5" s="19">
        <v>20.769080495019189</v>
      </c>
      <c r="AC5" s="19">
        <v>20.769080495019189</v>
      </c>
      <c r="AD5" s="19">
        <v>20.769080495019189</v>
      </c>
      <c r="AE5" s="19">
        <v>20.769080495019189</v>
      </c>
      <c r="AF5" s="19">
        <v>20.769080495019189</v>
      </c>
      <c r="AG5" s="19">
        <v>20.769080495019189</v>
      </c>
      <c r="AH5" s="19">
        <v>20.769080495019189</v>
      </c>
      <c r="AI5" s="19">
        <v>20.769080495019189</v>
      </c>
      <c r="AJ5" s="19">
        <v>20.769080495019189</v>
      </c>
      <c r="AK5" s="19">
        <v>20.769080495019189</v>
      </c>
      <c r="AL5" s="19">
        <v>20.769080495019189</v>
      </c>
      <c r="AM5" s="19">
        <v>20.769080495019189</v>
      </c>
      <c r="AN5" s="19">
        <v>20.769080495019189</v>
      </c>
      <c r="AO5" s="19">
        <v>20.769080495019189</v>
      </c>
      <c r="AP5" s="19">
        <v>20.769080495019189</v>
      </c>
      <c r="AQ5" s="19">
        <v>20.769080495019189</v>
      </c>
      <c r="AR5" s="19">
        <v>20.769080495019189</v>
      </c>
      <c r="AS5" s="19">
        <v>20.769080495019189</v>
      </c>
      <c r="AT5" s="19">
        <v>20.769080495019189</v>
      </c>
      <c r="AU5" s="19">
        <v>20.769080495019189</v>
      </c>
      <c r="AV5" s="19">
        <v>20.769080495019189</v>
      </c>
      <c r="AW5" s="19">
        <v>20.769080495019189</v>
      </c>
      <c r="AX5" s="19">
        <v>20.769080495019189</v>
      </c>
      <c r="AY5" s="19">
        <v>20.769080495019189</v>
      </c>
      <c r="AZ5" s="19">
        <v>20.769080495019189</v>
      </c>
      <c r="BA5" s="19">
        <v>20.769080495019189</v>
      </c>
      <c r="BB5" s="19">
        <v>20.769080495019189</v>
      </c>
      <c r="BC5" s="19">
        <v>20.769080495019189</v>
      </c>
      <c r="BD5" s="19">
        <v>20.769080495019189</v>
      </c>
      <c r="BE5" s="19">
        <v>20.769080495019189</v>
      </c>
      <c r="BF5" s="19">
        <v>20.769080495019189</v>
      </c>
      <c r="BG5" s="19">
        <v>20.769080495019189</v>
      </c>
      <c r="BH5" s="19">
        <v>20.769080495019189</v>
      </c>
      <c r="BI5" s="19">
        <v>20.769080495019189</v>
      </c>
      <c r="BJ5" s="19">
        <v>20.769080495019189</v>
      </c>
      <c r="BK5" s="19">
        <v>20.769080495019189</v>
      </c>
      <c r="BL5" s="19">
        <v>20.769080495019189</v>
      </c>
      <c r="BM5" s="19">
        <v>20.769080495019189</v>
      </c>
      <c r="BN5" s="19">
        <v>20.769080495019189</v>
      </c>
      <c r="BO5" s="19">
        <v>20.769080495019189</v>
      </c>
      <c r="BP5" s="19">
        <v>20.769080495019189</v>
      </c>
      <c r="BQ5" s="19">
        <v>20.769080495019189</v>
      </c>
      <c r="BR5" s="19">
        <v>20.769080495019189</v>
      </c>
      <c r="BS5" s="19">
        <v>20.769080495019189</v>
      </c>
      <c r="BT5" s="19">
        <v>20.769080495019189</v>
      </c>
      <c r="BU5" s="19">
        <v>20.769080495019189</v>
      </c>
      <c r="BV5" s="19">
        <v>20.769080495019189</v>
      </c>
      <c r="BW5" s="19">
        <v>20.769080495019189</v>
      </c>
      <c r="BX5" s="19">
        <v>20.769080495019189</v>
      </c>
      <c r="BY5" s="19">
        <v>20.769080495019189</v>
      </c>
      <c r="BZ5" s="19">
        <v>20.769080495019189</v>
      </c>
      <c r="CA5" s="19">
        <v>20.769080495019189</v>
      </c>
      <c r="CB5" s="19">
        <v>20.769080495019189</v>
      </c>
      <c r="CC5" s="19">
        <v>20.769080495019189</v>
      </c>
      <c r="CD5" s="19">
        <v>20.769080495019189</v>
      </c>
      <c r="CE5" s="19">
        <v>20.769080495019189</v>
      </c>
      <c r="CF5" s="19">
        <v>20.769080495019189</v>
      </c>
      <c r="CG5" s="19">
        <v>20.769080495019189</v>
      </c>
      <c r="CH5" s="19">
        <v>20.769080495019189</v>
      </c>
      <c r="CI5" s="19">
        <v>20.769080495019189</v>
      </c>
      <c r="CJ5" s="19">
        <v>20.769080495019189</v>
      </c>
      <c r="CK5" s="19">
        <v>20.769080495019189</v>
      </c>
      <c r="CL5" s="19">
        <v>20.769080495019189</v>
      </c>
      <c r="CM5" s="19">
        <v>20.769080495019189</v>
      </c>
      <c r="CN5" s="19">
        <v>20.769080495019189</v>
      </c>
      <c r="CO5" s="19">
        <v>20.769080495019189</v>
      </c>
    </row>
    <row r="6" spans="1:93" x14ac:dyDescent="0.2">
      <c r="A6" s="4" t="s">
        <v>28</v>
      </c>
      <c r="B6" s="5" t="s">
        <v>26</v>
      </c>
      <c r="C6" s="19">
        <v>9.1899504015192282</v>
      </c>
      <c r="D6" s="19">
        <v>9.4094792181826872</v>
      </c>
      <c r="E6" s="19">
        <v>9.7349176790573608</v>
      </c>
      <c r="F6" s="19">
        <v>9.9740094236324452</v>
      </c>
      <c r="G6" s="19">
        <v>10.31751709132204</v>
      </c>
      <c r="H6" s="19">
        <v>10.660783836254105</v>
      </c>
      <c r="I6" s="19">
        <v>10.987571464570959</v>
      </c>
      <c r="J6" s="19">
        <v>11.32987451847289</v>
      </c>
      <c r="K6" s="19">
        <v>11.791482521904836</v>
      </c>
      <c r="L6" s="19">
        <v>12.145831713683387</v>
      </c>
      <c r="M6" s="19">
        <v>12.481870775889481</v>
      </c>
      <c r="N6" s="19">
        <v>12.870575552892145</v>
      </c>
      <c r="O6" s="19">
        <v>13.304284701001842</v>
      </c>
      <c r="P6" s="19">
        <v>13.854889571066231</v>
      </c>
      <c r="Q6" s="19">
        <v>14.435561601270653</v>
      </c>
      <c r="R6" s="19">
        <v>16.490632723021431</v>
      </c>
      <c r="S6" s="19">
        <v>17.661035479113494</v>
      </c>
      <c r="T6" s="19">
        <v>18.111320112941417</v>
      </c>
      <c r="U6" s="19">
        <v>18.456562424485242</v>
      </c>
      <c r="V6" s="19">
        <v>18.731503475381139</v>
      </c>
      <c r="W6" s="26">
        <v>19.059351163831135</v>
      </c>
      <c r="X6" s="19">
        <v>19.059351163831135</v>
      </c>
      <c r="Y6" s="19">
        <v>19.059351163831135</v>
      </c>
      <c r="Z6" s="19">
        <v>19.059351163831135</v>
      </c>
      <c r="AA6" s="19">
        <v>19.059351163831135</v>
      </c>
      <c r="AB6" s="19">
        <v>19.059351163831135</v>
      </c>
      <c r="AC6" s="19">
        <v>19.059351163831135</v>
      </c>
      <c r="AD6" s="19">
        <v>19.059351163831135</v>
      </c>
      <c r="AE6" s="19">
        <v>19.059351163831135</v>
      </c>
      <c r="AF6" s="19">
        <v>19.059351163831135</v>
      </c>
      <c r="AG6" s="19">
        <v>19.059351163831135</v>
      </c>
      <c r="AH6" s="19">
        <v>19.059351163831135</v>
      </c>
      <c r="AI6" s="19">
        <v>19.059351163831135</v>
      </c>
      <c r="AJ6" s="19">
        <v>19.059351163831135</v>
      </c>
      <c r="AK6" s="19">
        <v>19.059351163831135</v>
      </c>
      <c r="AL6" s="19">
        <v>19.059351163831135</v>
      </c>
      <c r="AM6" s="19">
        <v>19.059351163831135</v>
      </c>
      <c r="AN6" s="19">
        <v>19.059351163831135</v>
      </c>
      <c r="AO6" s="19">
        <v>19.059351163831135</v>
      </c>
      <c r="AP6" s="19">
        <v>19.059351163831135</v>
      </c>
      <c r="AQ6" s="19">
        <v>19.059351163831135</v>
      </c>
      <c r="AR6" s="19">
        <v>19.059351163831135</v>
      </c>
      <c r="AS6" s="19">
        <v>19.059351163831135</v>
      </c>
      <c r="AT6" s="19">
        <v>19.059351163831135</v>
      </c>
      <c r="AU6" s="19">
        <v>19.059351163831135</v>
      </c>
      <c r="AV6" s="19">
        <v>19.059351163831135</v>
      </c>
      <c r="AW6" s="19">
        <v>19.059351163831135</v>
      </c>
      <c r="AX6" s="19">
        <v>19.059351163831135</v>
      </c>
      <c r="AY6" s="19">
        <v>19.059351163831135</v>
      </c>
      <c r="AZ6" s="19">
        <v>19.059351163831135</v>
      </c>
      <c r="BA6" s="19">
        <v>19.059351163831135</v>
      </c>
      <c r="BB6" s="19">
        <v>19.059351163831135</v>
      </c>
      <c r="BC6" s="19">
        <v>19.059351163831135</v>
      </c>
      <c r="BD6" s="19">
        <v>19.059351163831135</v>
      </c>
      <c r="BE6" s="19">
        <v>19.059351163831135</v>
      </c>
      <c r="BF6" s="19">
        <v>19.059351163831135</v>
      </c>
      <c r="BG6" s="19">
        <v>19.059351163831135</v>
      </c>
      <c r="BH6" s="19">
        <v>19.059351163831135</v>
      </c>
      <c r="BI6" s="19">
        <v>19.059351163831135</v>
      </c>
      <c r="BJ6" s="19">
        <v>19.059351163831135</v>
      </c>
      <c r="BK6" s="19">
        <v>19.059351163831135</v>
      </c>
      <c r="BL6" s="19">
        <v>19.059351163831135</v>
      </c>
      <c r="BM6" s="19">
        <v>19.059351163831135</v>
      </c>
      <c r="BN6" s="19">
        <v>19.059351163831135</v>
      </c>
      <c r="BO6" s="19">
        <v>19.059351163831135</v>
      </c>
      <c r="BP6" s="19">
        <v>19.059351163831135</v>
      </c>
      <c r="BQ6" s="19">
        <v>19.059351163831135</v>
      </c>
      <c r="BR6" s="19">
        <v>19.059351163831135</v>
      </c>
      <c r="BS6" s="19">
        <v>19.059351163831135</v>
      </c>
      <c r="BT6" s="19">
        <v>19.059351163831135</v>
      </c>
      <c r="BU6" s="19">
        <v>19.059351163831135</v>
      </c>
      <c r="BV6" s="19">
        <v>19.059351163831135</v>
      </c>
      <c r="BW6" s="19">
        <v>19.059351163831135</v>
      </c>
      <c r="BX6" s="19">
        <v>19.059351163831135</v>
      </c>
      <c r="BY6" s="19">
        <v>19.059351163831135</v>
      </c>
      <c r="BZ6" s="19">
        <v>19.059351163831135</v>
      </c>
      <c r="CA6" s="19">
        <v>19.059351163831135</v>
      </c>
      <c r="CB6" s="19">
        <v>19.059351163831135</v>
      </c>
      <c r="CC6" s="19">
        <v>19.059351163831135</v>
      </c>
      <c r="CD6" s="19">
        <v>19.059351163831135</v>
      </c>
      <c r="CE6" s="19">
        <v>19.059351163831135</v>
      </c>
      <c r="CF6" s="19">
        <v>19.059351163831135</v>
      </c>
      <c r="CG6" s="19">
        <v>19.059351163831135</v>
      </c>
      <c r="CH6" s="19">
        <v>19.059351163831135</v>
      </c>
      <c r="CI6" s="19">
        <v>19.059351163831135</v>
      </c>
      <c r="CJ6" s="19">
        <v>19.059351163831135</v>
      </c>
      <c r="CK6" s="19">
        <v>19.059351163831135</v>
      </c>
      <c r="CL6" s="19">
        <v>19.059351163831135</v>
      </c>
      <c r="CM6" s="19">
        <v>19.059351163831135</v>
      </c>
      <c r="CN6" s="19">
        <v>19.059351163831135</v>
      </c>
      <c r="CO6" s="19">
        <v>19.059351163831135</v>
      </c>
    </row>
    <row r="7" spans="1:93" s="6" customFormat="1" x14ac:dyDescent="0.2">
      <c r="A7" s="4" t="s">
        <v>29</v>
      </c>
      <c r="B7" s="5" t="s">
        <v>26</v>
      </c>
      <c r="C7" s="19">
        <v>7.3729739134611751</v>
      </c>
      <c r="D7" s="19">
        <v>7.5621068604135191</v>
      </c>
      <c r="E7" s="19">
        <v>7.8187424159403136</v>
      </c>
      <c r="F7" s="19">
        <v>7.9280112887737761</v>
      </c>
      <c r="G7" s="19">
        <v>8.0357959178883061</v>
      </c>
      <c r="H7" s="19">
        <v>8.1397792393882984</v>
      </c>
      <c r="I7" s="19">
        <v>8.2311433999907813</v>
      </c>
      <c r="J7" s="19">
        <v>8.3256711584960943</v>
      </c>
      <c r="K7" s="19">
        <v>8.3982483517497091</v>
      </c>
      <c r="L7" s="19">
        <v>8.5275532087545365</v>
      </c>
      <c r="M7" s="19">
        <v>8.6169209504731814</v>
      </c>
      <c r="N7" s="19">
        <v>8.7397855876156694</v>
      </c>
      <c r="O7" s="19">
        <v>8.8328371464964519</v>
      </c>
      <c r="P7" s="19">
        <v>9.1219124405558603</v>
      </c>
      <c r="Q7" s="19">
        <v>9.4663222947212908</v>
      </c>
      <c r="R7" s="19">
        <v>11.527691740768683</v>
      </c>
      <c r="S7" s="19">
        <v>12.976539774829934</v>
      </c>
      <c r="T7" s="19">
        <v>13.25003178301958</v>
      </c>
      <c r="U7" s="19">
        <v>13.559651879256496</v>
      </c>
      <c r="V7" s="19">
        <v>13.750672153217732</v>
      </c>
      <c r="W7" s="26">
        <v>14.002186673126118</v>
      </c>
      <c r="X7" s="19">
        <v>14.002186673126118</v>
      </c>
      <c r="Y7" s="19">
        <v>14.002186673126118</v>
      </c>
      <c r="Z7" s="19">
        <v>14.002186673126118</v>
      </c>
      <c r="AA7" s="19">
        <v>14.002186673126118</v>
      </c>
      <c r="AB7" s="19">
        <v>14.002186673126118</v>
      </c>
      <c r="AC7" s="19">
        <v>14.002186673126118</v>
      </c>
      <c r="AD7" s="19">
        <v>14.002186673126118</v>
      </c>
      <c r="AE7" s="19">
        <v>14.002186673126118</v>
      </c>
      <c r="AF7" s="19">
        <v>14.002186673126118</v>
      </c>
      <c r="AG7" s="19">
        <v>14.002186673126118</v>
      </c>
      <c r="AH7" s="19">
        <v>14.002186673126118</v>
      </c>
      <c r="AI7" s="19">
        <v>14.002186673126118</v>
      </c>
      <c r="AJ7" s="19">
        <v>14.002186673126118</v>
      </c>
      <c r="AK7" s="19">
        <v>14.002186673126118</v>
      </c>
      <c r="AL7" s="19">
        <v>14.002186673126118</v>
      </c>
      <c r="AM7" s="19">
        <v>14.002186673126118</v>
      </c>
      <c r="AN7" s="19">
        <v>14.002186673126118</v>
      </c>
      <c r="AO7" s="19">
        <v>14.002186673126118</v>
      </c>
      <c r="AP7" s="19">
        <v>14.002186673126118</v>
      </c>
      <c r="AQ7" s="19">
        <v>14.002186673126118</v>
      </c>
      <c r="AR7" s="19">
        <v>14.002186673126118</v>
      </c>
      <c r="AS7" s="19">
        <v>14.002186673126118</v>
      </c>
      <c r="AT7" s="19">
        <v>14.002186673126118</v>
      </c>
      <c r="AU7" s="19">
        <v>14.002186673126118</v>
      </c>
      <c r="AV7" s="19">
        <v>14.002186673126118</v>
      </c>
      <c r="AW7" s="19">
        <v>14.002186673126118</v>
      </c>
      <c r="AX7" s="19">
        <v>14.002186673126118</v>
      </c>
      <c r="AY7" s="19">
        <v>14.002186673126118</v>
      </c>
      <c r="AZ7" s="19">
        <v>14.002186673126118</v>
      </c>
      <c r="BA7" s="19">
        <v>14.002186673126118</v>
      </c>
      <c r="BB7" s="19">
        <v>14.002186673126118</v>
      </c>
      <c r="BC7" s="19">
        <v>14.002186673126118</v>
      </c>
      <c r="BD7" s="19">
        <v>14.002186673126118</v>
      </c>
      <c r="BE7" s="19">
        <v>14.002186673126118</v>
      </c>
      <c r="BF7" s="19">
        <v>14.002186673126118</v>
      </c>
      <c r="BG7" s="19">
        <v>14.002186673126118</v>
      </c>
      <c r="BH7" s="19">
        <v>14.002186673126118</v>
      </c>
      <c r="BI7" s="19">
        <v>14.002186673126118</v>
      </c>
      <c r="BJ7" s="19">
        <v>14.002186673126118</v>
      </c>
      <c r="BK7" s="19">
        <v>14.002186673126118</v>
      </c>
      <c r="BL7" s="19">
        <v>14.002186673126118</v>
      </c>
      <c r="BM7" s="19">
        <v>14.002186673126118</v>
      </c>
      <c r="BN7" s="19">
        <v>14.002186673126118</v>
      </c>
      <c r="BO7" s="19">
        <v>14.002186673126118</v>
      </c>
      <c r="BP7" s="19">
        <v>14.002186673126118</v>
      </c>
      <c r="BQ7" s="19">
        <v>14.002186673126118</v>
      </c>
      <c r="BR7" s="19">
        <v>14.002186673126118</v>
      </c>
      <c r="BS7" s="19">
        <v>14.002186673126118</v>
      </c>
      <c r="BT7" s="19">
        <v>14.002186673126118</v>
      </c>
      <c r="BU7" s="19">
        <v>14.002186673126118</v>
      </c>
      <c r="BV7" s="19">
        <v>14.002186673126118</v>
      </c>
      <c r="BW7" s="19">
        <v>14.002186673126118</v>
      </c>
      <c r="BX7" s="19">
        <v>14.002186673126118</v>
      </c>
      <c r="BY7" s="19">
        <v>14.002186673126118</v>
      </c>
      <c r="BZ7" s="19">
        <v>14.002186673126118</v>
      </c>
      <c r="CA7" s="19">
        <v>14.002186673126118</v>
      </c>
      <c r="CB7" s="19">
        <v>14.002186673126118</v>
      </c>
      <c r="CC7" s="19">
        <v>14.002186673126118</v>
      </c>
      <c r="CD7" s="19">
        <v>14.002186673126118</v>
      </c>
      <c r="CE7" s="19">
        <v>14.002186673126118</v>
      </c>
      <c r="CF7" s="19">
        <v>14.002186673126118</v>
      </c>
      <c r="CG7" s="19">
        <v>14.002186673126118</v>
      </c>
      <c r="CH7" s="19">
        <v>14.002186673126118</v>
      </c>
      <c r="CI7" s="19">
        <v>14.002186673126118</v>
      </c>
      <c r="CJ7" s="19">
        <v>14.002186673126118</v>
      </c>
      <c r="CK7" s="19">
        <v>14.002186673126118</v>
      </c>
      <c r="CL7" s="19">
        <v>14.002186673126118</v>
      </c>
      <c r="CM7" s="19">
        <v>14.002186673126118</v>
      </c>
      <c r="CN7" s="19">
        <v>14.002186673126118</v>
      </c>
      <c r="CO7" s="19">
        <v>14.002186673126118</v>
      </c>
    </row>
    <row r="8" spans="1:93" s="6" customFormat="1" x14ac:dyDescent="0.2">
      <c r="A8" s="4" t="s">
        <v>30</v>
      </c>
      <c r="B8" s="5" t="s">
        <v>26</v>
      </c>
      <c r="C8" s="19">
        <v>6.7954218428155713</v>
      </c>
      <c r="D8" s="19">
        <v>6.9669769651950944</v>
      </c>
      <c r="E8" s="19">
        <v>7.202280835897187</v>
      </c>
      <c r="F8" s="19">
        <v>7.2988956261440494</v>
      </c>
      <c r="G8" s="19">
        <v>7.394291151319079</v>
      </c>
      <c r="H8" s="19">
        <v>7.4862997850564055</v>
      </c>
      <c r="I8" s="19">
        <v>7.5666282038570358</v>
      </c>
      <c r="J8" s="19">
        <v>7.6501618795906499</v>
      </c>
      <c r="K8" s="19">
        <v>7.7132519021781603</v>
      </c>
      <c r="L8" s="19">
        <v>7.8300445160373231</v>
      </c>
      <c r="M8" s="19">
        <v>7.9094735876482076</v>
      </c>
      <c r="N8" s="19">
        <v>8.0207435843889492</v>
      </c>
      <c r="O8" s="19">
        <v>8.1042155308111088</v>
      </c>
      <c r="P8" s="19">
        <v>8.3726907913601103</v>
      </c>
      <c r="Q8" s="19">
        <v>8.6936216413401226</v>
      </c>
      <c r="R8" s="19">
        <v>10.632640723560218</v>
      </c>
      <c r="S8" s="19">
        <v>11.994871779048436</v>
      </c>
      <c r="T8" s="19">
        <v>12.250011956379153</v>
      </c>
      <c r="U8" s="19">
        <v>12.539560880918712</v>
      </c>
      <c r="V8" s="19">
        <v>12.717742811129096</v>
      </c>
      <c r="W8" s="26">
        <v>12.953316473553439</v>
      </c>
      <c r="X8" s="19">
        <v>12.953316473553439</v>
      </c>
      <c r="Y8" s="19">
        <v>12.953316473553439</v>
      </c>
      <c r="Z8" s="19">
        <v>12.953316473553439</v>
      </c>
      <c r="AA8" s="19">
        <v>12.953316473553439</v>
      </c>
      <c r="AB8" s="19">
        <v>12.953316473553439</v>
      </c>
      <c r="AC8" s="19">
        <v>12.953316473553439</v>
      </c>
      <c r="AD8" s="19">
        <v>12.953316473553439</v>
      </c>
      <c r="AE8" s="19">
        <v>12.953316473553439</v>
      </c>
      <c r="AF8" s="19">
        <v>12.953316473553439</v>
      </c>
      <c r="AG8" s="19">
        <v>12.953316473553439</v>
      </c>
      <c r="AH8" s="19">
        <v>12.953316473553439</v>
      </c>
      <c r="AI8" s="19">
        <v>12.953316473553439</v>
      </c>
      <c r="AJ8" s="19">
        <v>12.953316473553439</v>
      </c>
      <c r="AK8" s="19">
        <v>12.953316473553439</v>
      </c>
      <c r="AL8" s="19">
        <v>12.953316473553439</v>
      </c>
      <c r="AM8" s="19">
        <v>12.953316473553439</v>
      </c>
      <c r="AN8" s="19">
        <v>12.953316473553439</v>
      </c>
      <c r="AO8" s="19">
        <v>12.953316473553439</v>
      </c>
      <c r="AP8" s="19">
        <v>12.953316473553439</v>
      </c>
      <c r="AQ8" s="19">
        <v>12.953316473553439</v>
      </c>
      <c r="AR8" s="19">
        <v>12.953316473553439</v>
      </c>
      <c r="AS8" s="19">
        <v>12.953316473553439</v>
      </c>
      <c r="AT8" s="19">
        <v>12.953316473553439</v>
      </c>
      <c r="AU8" s="19">
        <v>12.953316473553439</v>
      </c>
      <c r="AV8" s="19">
        <v>12.953316473553439</v>
      </c>
      <c r="AW8" s="19">
        <v>12.953316473553439</v>
      </c>
      <c r="AX8" s="19">
        <v>12.953316473553439</v>
      </c>
      <c r="AY8" s="19">
        <v>12.953316473553439</v>
      </c>
      <c r="AZ8" s="19">
        <v>12.953316473553439</v>
      </c>
      <c r="BA8" s="19">
        <v>12.953316473553439</v>
      </c>
      <c r="BB8" s="19">
        <v>12.953316473553439</v>
      </c>
      <c r="BC8" s="19">
        <v>12.953316473553439</v>
      </c>
      <c r="BD8" s="19">
        <v>12.953316473553439</v>
      </c>
      <c r="BE8" s="19">
        <v>12.953316473553439</v>
      </c>
      <c r="BF8" s="19">
        <v>12.953316473553439</v>
      </c>
      <c r="BG8" s="19">
        <v>12.953316473553439</v>
      </c>
      <c r="BH8" s="19">
        <v>12.953316473553439</v>
      </c>
      <c r="BI8" s="19">
        <v>12.953316473553439</v>
      </c>
      <c r="BJ8" s="19">
        <v>12.953316473553439</v>
      </c>
      <c r="BK8" s="19">
        <v>12.953316473553439</v>
      </c>
      <c r="BL8" s="19">
        <v>12.953316473553439</v>
      </c>
      <c r="BM8" s="19">
        <v>12.953316473553439</v>
      </c>
      <c r="BN8" s="19">
        <v>12.953316473553439</v>
      </c>
      <c r="BO8" s="19">
        <v>12.953316473553439</v>
      </c>
      <c r="BP8" s="19">
        <v>12.953316473553439</v>
      </c>
      <c r="BQ8" s="19">
        <v>12.953316473553439</v>
      </c>
      <c r="BR8" s="19">
        <v>12.953316473553439</v>
      </c>
      <c r="BS8" s="19">
        <v>12.953316473553439</v>
      </c>
      <c r="BT8" s="19">
        <v>12.953316473553439</v>
      </c>
      <c r="BU8" s="19">
        <v>12.953316473553439</v>
      </c>
      <c r="BV8" s="19">
        <v>12.953316473553439</v>
      </c>
      <c r="BW8" s="19">
        <v>12.953316473553439</v>
      </c>
      <c r="BX8" s="19">
        <v>12.953316473553439</v>
      </c>
      <c r="BY8" s="19">
        <v>12.953316473553439</v>
      </c>
      <c r="BZ8" s="19">
        <v>12.953316473553439</v>
      </c>
      <c r="CA8" s="19">
        <v>12.953316473553439</v>
      </c>
      <c r="CB8" s="19">
        <v>12.953316473553439</v>
      </c>
      <c r="CC8" s="19">
        <v>12.953316473553439</v>
      </c>
      <c r="CD8" s="19">
        <v>12.953316473553439</v>
      </c>
      <c r="CE8" s="19">
        <v>12.953316473553439</v>
      </c>
      <c r="CF8" s="19">
        <v>12.953316473553439</v>
      </c>
      <c r="CG8" s="19">
        <v>12.953316473553439</v>
      </c>
      <c r="CH8" s="19">
        <v>12.953316473553439</v>
      </c>
      <c r="CI8" s="19">
        <v>12.953316473553439</v>
      </c>
      <c r="CJ8" s="19">
        <v>12.953316473553439</v>
      </c>
      <c r="CK8" s="19">
        <v>12.953316473553439</v>
      </c>
      <c r="CL8" s="19">
        <v>12.953316473553439</v>
      </c>
      <c r="CM8" s="19">
        <v>12.953316473553439</v>
      </c>
      <c r="CN8" s="19">
        <v>12.953316473553439</v>
      </c>
      <c r="CO8" s="19">
        <v>12.953316473553439</v>
      </c>
    </row>
    <row r="9" spans="1:93" s="6" customFormat="1" x14ac:dyDescent="0.2">
      <c r="A9" s="4" t="s">
        <v>31</v>
      </c>
      <c r="B9" s="5" t="s">
        <v>26</v>
      </c>
      <c r="C9" s="19">
        <v>6.3553514231222801</v>
      </c>
      <c r="D9" s="19">
        <v>6.5164329253441649</v>
      </c>
      <c r="E9" s="19">
        <v>6.7368735325707974</v>
      </c>
      <c r="F9" s="19">
        <v>6.8282082026845954</v>
      </c>
      <c r="G9" s="19">
        <v>6.9184201269672299</v>
      </c>
      <c r="H9" s="19">
        <v>7.005492355956453</v>
      </c>
      <c r="I9" s="19">
        <v>7.0817049844486304</v>
      </c>
      <c r="J9" s="19">
        <v>7.1609171435072438</v>
      </c>
      <c r="K9" s="19">
        <v>7.2211130779905091</v>
      </c>
      <c r="L9" s="19">
        <v>7.331322646897978</v>
      </c>
      <c r="M9" s="19">
        <v>7.4067657538026825</v>
      </c>
      <c r="N9" s="19">
        <v>7.5118715081933018</v>
      </c>
      <c r="O9" s="19">
        <v>7.5911179340797901</v>
      </c>
      <c r="P9" s="19">
        <v>7.8426203996183421</v>
      </c>
      <c r="Q9" s="19">
        <v>8.1429800902114238</v>
      </c>
      <c r="R9" s="19">
        <v>9.94977543607542</v>
      </c>
      <c r="S9" s="19">
        <v>11.219614556969447</v>
      </c>
      <c r="T9" s="19">
        <v>11.45879530852288</v>
      </c>
      <c r="U9" s="19">
        <v>11.730035425185246</v>
      </c>
      <c r="V9" s="19">
        <v>11.897621003797415</v>
      </c>
      <c r="W9" s="26">
        <v>12.118664419799376</v>
      </c>
      <c r="X9" s="19">
        <v>12.118664419799376</v>
      </c>
      <c r="Y9" s="19">
        <v>12.118664419799376</v>
      </c>
      <c r="Z9" s="19">
        <v>12.118664419799376</v>
      </c>
      <c r="AA9" s="19">
        <v>12.118664419799376</v>
      </c>
      <c r="AB9" s="19">
        <v>12.118664419799376</v>
      </c>
      <c r="AC9" s="19">
        <v>12.118664419799376</v>
      </c>
      <c r="AD9" s="19">
        <v>12.118664419799376</v>
      </c>
      <c r="AE9" s="19">
        <v>12.118664419799376</v>
      </c>
      <c r="AF9" s="19">
        <v>12.118664419799376</v>
      </c>
      <c r="AG9" s="19">
        <v>12.118664419799376</v>
      </c>
      <c r="AH9" s="19">
        <v>12.118664419799376</v>
      </c>
      <c r="AI9" s="19">
        <v>12.118664419799376</v>
      </c>
      <c r="AJ9" s="19">
        <v>12.118664419799376</v>
      </c>
      <c r="AK9" s="19">
        <v>12.118664419799376</v>
      </c>
      <c r="AL9" s="19">
        <v>12.118664419799376</v>
      </c>
      <c r="AM9" s="19">
        <v>12.118664419799376</v>
      </c>
      <c r="AN9" s="19">
        <v>12.118664419799376</v>
      </c>
      <c r="AO9" s="19">
        <v>12.118664419799376</v>
      </c>
      <c r="AP9" s="19">
        <v>12.118664419799376</v>
      </c>
      <c r="AQ9" s="19">
        <v>12.118664419799376</v>
      </c>
      <c r="AR9" s="19">
        <v>12.118664419799376</v>
      </c>
      <c r="AS9" s="19">
        <v>12.118664419799376</v>
      </c>
      <c r="AT9" s="19">
        <v>12.118664419799376</v>
      </c>
      <c r="AU9" s="19">
        <v>12.118664419799376</v>
      </c>
      <c r="AV9" s="19">
        <v>12.118664419799376</v>
      </c>
      <c r="AW9" s="19">
        <v>12.118664419799376</v>
      </c>
      <c r="AX9" s="19">
        <v>12.118664419799376</v>
      </c>
      <c r="AY9" s="19">
        <v>12.118664419799376</v>
      </c>
      <c r="AZ9" s="19">
        <v>12.118664419799376</v>
      </c>
      <c r="BA9" s="19">
        <v>12.118664419799376</v>
      </c>
      <c r="BB9" s="19">
        <v>12.118664419799376</v>
      </c>
      <c r="BC9" s="19">
        <v>12.118664419799376</v>
      </c>
      <c r="BD9" s="19">
        <v>12.118664419799376</v>
      </c>
      <c r="BE9" s="19">
        <v>12.118664419799376</v>
      </c>
      <c r="BF9" s="19">
        <v>12.118664419799376</v>
      </c>
      <c r="BG9" s="19">
        <v>12.118664419799376</v>
      </c>
      <c r="BH9" s="19">
        <v>12.118664419799376</v>
      </c>
      <c r="BI9" s="19">
        <v>12.118664419799376</v>
      </c>
      <c r="BJ9" s="19">
        <v>12.118664419799376</v>
      </c>
      <c r="BK9" s="19">
        <v>12.118664419799376</v>
      </c>
      <c r="BL9" s="19">
        <v>12.118664419799376</v>
      </c>
      <c r="BM9" s="19">
        <v>12.118664419799376</v>
      </c>
      <c r="BN9" s="19">
        <v>12.118664419799376</v>
      </c>
      <c r="BO9" s="19">
        <v>12.118664419799376</v>
      </c>
      <c r="BP9" s="19">
        <v>12.118664419799376</v>
      </c>
      <c r="BQ9" s="19">
        <v>12.118664419799376</v>
      </c>
      <c r="BR9" s="19">
        <v>12.118664419799376</v>
      </c>
      <c r="BS9" s="19">
        <v>12.118664419799376</v>
      </c>
      <c r="BT9" s="19">
        <v>12.118664419799376</v>
      </c>
      <c r="BU9" s="19">
        <v>12.118664419799376</v>
      </c>
      <c r="BV9" s="19">
        <v>12.118664419799376</v>
      </c>
      <c r="BW9" s="19">
        <v>12.118664419799376</v>
      </c>
      <c r="BX9" s="19">
        <v>12.118664419799376</v>
      </c>
      <c r="BY9" s="19">
        <v>12.118664419799376</v>
      </c>
      <c r="BZ9" s="19">
        <v>12.118664419799376</v>
      </c>
      <c r="CA9" s="19">
        <v>12.118664419799376</v>
      </c>
      <c r="CB9" s="19">
        <v>12.118664419799376</v>
      </c>
      <c r="CC9" s="19">
        <v>12.118664419799376</v>
      </c>
      <c r="CD9" s="19">
        <v>12.118664419799376</v>
      </c>
      <c r="CE9" s="19">
        <v>12.118664419799376</v>
      </c>
      <c r="CF9" s="19">
        <v>12.118664419799376</v>
      </c>
      <c r="CG9" s="19">
        <v>12.118664419799376</v>
      </c>
      <c r="CH9" s="19">
        <v>12.118664419799376</v>
      </c>
      <c r="CI9" s="19">
        <v>12.118664419799376</v>
      </c>
      <c r="CJ9" s="19">
        <v>12.118664419799376</v>
      </c>
      <c r="CK9" s="19">
        <v>12.118664419799376</v>
      </c>
      <c r="CL9" s="19">
        <v>12.118664419799376</v>
      </c>
      <c r="CM9" s="19">
        <v>12.118664419799376</v>
      </c>
      <c r="CN9" s="19">
        <v>12.118664419799376</v>
      </c>
      <c r="CO9" s="19">
        <v>12.118664419799376</v>
      </c>
    </row>
    <row r="10" spans="1:93" x14ac:dyDescent="0.2">
      <c r="A10" s="20"/>
      <c r="C10" s="19"/>
      <c r="D10" s="19"/>
      <c r="E10" s="19"/>
      <c r="F10" s="19"/>
      <c r="G10" s="19"/>
      <c r="H10" s="19"/>
      <c r="I10" s="19"/>
      <c r="J10" s="19"/>
      <c r="K10" s="19"/>
      <c r="L10" s="19"/>
      <c r="M10" s="19"/>
      <c r="N10" s="19"/>
      <c r="O10" s="19"/>
      <c r="P10" s="19"/>
      <c r="Q10" s="19"/>
      <c r="R10" s="19"/>
      <c r="S10" s="19"/>
      <c r="T10" s="19"/>
      <c r="U10" s="19"/>
      <c r="V10" s="19"/>
      <c r="W10" s="26"/>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row>
    <row r="11" spans="1:93" s="23" customFormat="1" ht="12" customHeight="1" x14ac:dyDescent="0.2">
      <c r="A11" s="22" t="s">
        <v>32</v>
      </c>
      <c r="B11" s="35" t="s">
        <v>26</v>
      </c>
      <c r="C11" s="16">
        <v>3.7476691363390122</v>
      </c>
      <c r="D11" s="16">
        <v>3.8922806123202176</v>
      </c>
      <c r="E11" s="16">
        <v>4.011397642099352</v>
      </c>
      <c r="F11" s="16">
        <v>4.1611504097262983</v>
      </c>
      <c r="G11" s="16">
        <v>4.384370163035153</v>
      </c>
      <c r="H11" s="16">
        <v>4.4846663069958623</v>
      </c>
      <c r="I11" s="16">
        <v>4.5518548456164787</v>
      </c>
      <c r="J11" s="16">
        <v>4.6825120754814114</v>
      </c>
      <c r="K11" s="16">
        <v>4.8148557646490708</v>
      </c>
      <c r="L11" s="16">
        <v>4.933278936886512</v>
      </c>
      <c r="M11" s="16">
        <v>5.1395570018856942</v>
      </c>
      <c r="N11" s="16">
        <v>5.0155781508595565</v>
      </c>
      <c r="O11" s="16">
        <v>5.0786517287815212</v>
      </c>
      <c r="P11" s="16">
        <v>5.1325220573657493</v>
      </c>
      <c r="Q11" s="16">
        <v>5.1875969997376403</v>
      </c>
      <c r="R11" s="16">
        <v>5.240648190946259</v>
      </c>
      <c r="S11" s="16">
        <v>5.2902782789979197</v>
      </c>
      <c r="T11" s="16">
        <v>5.3399565516010856</v>
      </c>
      <c r="U11" s="16">
        <v>5.385876429186748</v>
      </c>
      <c r="V11" s="16">
        <v>5.4306398775362554</v>
      </c>
      <c r="W11" s="37">
        <v>5.474295081201114</v>
      </c>
      <c r="X11" s="16">
        <v>5.474295081201114</v>
      </c>
      <c r="Y11" s="16">
        <v>5.474295081201114</v>
      </c>
      <c r="Z11" s="16">
        <v>5.474295081201114</v>
      </c>
      <c r="AA11" s="16">
        <v>5.474295081201114</v>
      </c>
      <c r="AB11" s="16">
        <v>5.474295081201114</v>
      </c>
      <c r="AC11" s="16">
        <v>5.474295081201114</v>
      </c>
      <c r="AD11" s="16">
        <v>5.474295081201114</v>
      </c>
      <c r="AE11" s="16">
        <v>5.474295081201114</v>
      </c>
      <c r="AF11" s="16">
        <v>5.474295081201114</v>
      </c>
      <c r="AG11" s="16">
        <v>5.474295081201114</v>
      </c>
      <c r="AH11" s="16">
        <v>5.474295081201114</v>
      </c>
      <c r="AI11" s="16">
        <v>5.474295081201114</v>
      </c>
      <c r="AJ11" s="16">
        <v>5.474295081201114</v>
      </c>
      <c r="AK11" s="16">
        <v>5.474295081201114</v>
      </c>
      <c r="AL11" s="16">
        <v>5.474295081201114</v>
      </c>
      <c r="AM11" s="16">
        <v>5.474295081201114</v>
      </c>
      <c r="AN11" s="16">
        <v>5.474295081201114</v>
      </c>
      <c r="AO11" s="16">
        <v>5.474295081201114</v>
      </c>
      <c r="AP11" s="16">
        <v>5.474295081201114</v>
      </c>
      <c r="AQ11" s="16">
        <v>5.474295081201114</v>
      </c>
      <c r="AR11" s="16">
        <v>5.474295081201114</v>
      </c>
      <c r="AS11" s="16">
        <v>5.474295081201114</v>
      </c>
      <c r="AT11" s="16">
        <v>5.474295081201114</v>
      </c>
      <c r="AU11" s="16">
        <v>5.474295081201114</v>
      </c>
      <c r="AV11" s="16">
        <v>5.474295081201114</v>
      </c>
      <c r="AW11" s="16">
        <v>5.474295081201114</v>
      </c>
      <c r="AX11" s="16">
        <v>5.474295081201114</v>
      </c>
      <c r="AY11" s="16">
        <v>5.474295081201114</v>
      </c>
      <c r="AZ11" s="16">
        <v>5.474295081201114</v>
      </c>
      <c r="BA11" s="16">
        <v>5.474295081201114</v>
      </c>
      <c r="BB11" s="16">
        <v>5.474295081201114</v>
      </c>
      <c r="BC11" s="16">
        <v>5.474295081201114</v>
      </c>
      <c r="BD11" s="16">
        <v>5.474295081201114</v>
      </c>
      <c r="BE11" s="16">
        <v>5.474295081201114</v>
      </c>
      <c r="BF11" s="16">
        <v>5.474295081201114</v>
      </c>
      <c r="BG11" s="16">
        <v>5.474295081201114</v>
      </c>
      <c r="BH11" s="16">
        <v>5.474295081201114</v>
      </c>
      <c r="BI11" s="16">
        <v>5.474295081201114</v>
      </c>
      <c r="BJ11" s="16">
        <v>5.474295081201114</v>
      </c>
      <c r="BK11" s="16">
        <v>5.474295081201114</v>
      </c>
      <c r="BL11" s="16">
        <v>5.474295081201114</v>
      </c>
      <c r="BM11" s="16">
        <v>5.474295081201114</v>
      </c>
      <c r="BN11" s="16">
        <v>5.474295081201114</v>
      </c>
      <c r="BO11" s="16">
        <v>5.474295081201114</v>
      </c>
      <c r="BP11" s="16">
        <v>5.474295081201114</v>
      </c>
      <c r="BQ11" s="16">
        <v>5.474295081201114</v>
      </c>
      <c r="BR11" s="16">
        <v>5.474295081201114</v>
      </c>
      <c r="BS11" s="16">
        <v>5.474295081201114</v>
      </c>
      <c r="BT11" s="16">
        <v>5.474295081201114</v>
      </c>
      <c r="BU11" s="16">
        <v>5.474295081201114</v>
      </c>
      <c r="BV11" s="16">
        <v>5.474295081201114</v>
      </c>
      <c r="BW11" s="16">
        <v>5.474295081201114</v>
      </c>
      <c r="BX11" s="16">
        <v>5.474295081201114</v>
      </c>
      <c r="BY11" s="16">
        <v>5.474295081201114</v>
      </c>
      <c r="BZ11" s="16">
        <v>5.474295081201114</v>
      </c>
      <c r="CA11" s="16">
        <v>5.474295081201114</v>
      </c>
      <c r="CB11" s="16">
        <v>5.474295081201114</v>
      </c>
      <c r="CC11" s="16">
        <v>5.474295081201114</v>
      </c>
      <c r="CD11" s="16">
        <v>5.474295081201114</v>
      </c>
      <c r="CE11" s="16">
        <v>5.474295081201114</v>
      </c>
      <c r="CF11" s="16">
        <v>5.474295081201114</v>
      </c>
      <c r="CG11" s="16">
        <v>5.474295081201114</v>
      </c>
      <c r="CH11" s="16">
        <v>5.474295081201114</v>
      </c>
      <c r="CI11" s="16">
        <v>5.474295081201114</v>
      </c>
      <c r="CJ11" s="16">
        <v>5.474295081201114</v>
      </c>
      <c r="CK11" s="16">
        <v>5.474295081201114</v>
      </c>
      <c r="CL11" s="16">
        <v>5.474295081201114</v>
      </c>
      <c r="CM11" s="16">
        <v>5.474295081201114</v>
      </c>
      <c r="CN11" s="16">
        <v>5.474295081201114</v>
      </c>
      <c r="CO11" s="16">
        <v>5.474295081201114</v>
      </c>
    </row>
    <row r="12" spans="1:93" s="23" customFormat="1" ht="12" customHeight="1" x14ac:dyDescent="0.2">
      <c r="A12" s="22" t="s">
        <v>61</v>
      </c>
      <c r="B12" s="35" t="s">
        <v>26</v>
      </c>
      <c r="C12" s="16">
        <v>2.8985835660660331</v>
      </c>
      <c r="D12" s="16">
        <v>2.9873518294106769</v>
      </c>
      <c r="E12" s="16">
        <v>3.0366933556173006</v>
      </c>
      <c r="F12" s="16">
        <v>3.0949460428035382</v>
      </c>
      <c r="G12" s="16">
        <v>3.1658074681393549</v>
      </c>
      <c r="H12" s="16">
        <v>3.2493991234460484</v>
      </c>
      <c r="I12" s="16">
        <v>3.3429214145806463</v>
      </c>
      <c r="J12" s="16">
        <v>3.4556130022149585</v>
      </c>
      <c r="K12" s="16">
        <v>3.5935801709325275</v>
      </c>
      <c r="L12" s="16">
        <v>3.7638113415845846</v>
      </c>
      <c r="M12" s="16">
        <v>3.9669720780617248</v>
      </c>
      <c r="N12" s="16">
        <v>4.0088444983850211</v>
      </c>
      <c r="O12" s="16">
        <v>4.052227643094902</v>
      </c>
      <c r="P12" s="16">
        <v>4.0852522894757843</v>
      </c>
      <c r="Q12" s="16">
        <v>4.1199355633300492</v>
      </c>
      <c r="R12" s="16">
        <v>4.1528070243710316</v>
      </c>
      <c r="S12" s="16">
        <v>4.1820971178102502</v>
      </c>
      <c r="T12" s="16">
        <v>4.2124489441225572</v>
      </c>
      <c r="U12" s="16">
        <v>4.239293354376497</v>
      </c>
      <c r="V12" s="16">
        <v>4.265604257067344</v>
      </c>
      <c r="W12" s="37">
        <v>4.2911228217931967</v>
      </c>
      <c r="X12" s="16">
        <v>4.2911228217931967</v>
      </c>
      <c r="Y12" s="16">
        <v>4.2911228217931967</v>
      </c>
      <c r="Z12" s="16">
        <v>4.2911228217931967</v>
      </c>
      <c r="AA12" s="16">
        <v>4.2911228217931967</v>
      </c>
      <c r="AB12" s="16">
        <v>4.2911228217931967</v>
      </c>
      <c r="AC12" s="16">
        <v>4.2911228217931967</v>
      </c>
      <c r="AD12" s="16">
        <v>4.2911228217931967</v>
      </c>
      <c r="AE12" s="16">
        <v>4.2911228217931967</v>
      </c>
      <c r="AF12" s="16">
        <v>4.2911228217931967</v>
      </c>
      <c r="AG12" s="16">
        <v>4.2911228217931967</v>
      </c>
      <c r="AH12" s="16">
        <v>4.2911228217931967</v>
      </c>
      <c r="AI12" s="16">
        <v>4.2911228217931967</v>
      </c>
      <c r="AJ12" s="16">
        <v>4.2911228217931967</v>
      </c>
      <c r="AK12" s="16">
        <v>4.2911228217931967</v>
      </c>
      <c r="AL12" s="16">
        <v>4.2911228217931967</v>
      </c>
      <c r="AM12" s="16">
        <v>4.2911228217931967</v>
      </c>
      <c r="AN12" s="16">
        <v>4.2911228217931967</v>
      </c>
      <c r="AO12" s="16">
        <v>4.2911228217931967</v>
      </c>
      <c r="AP12" s="16">
        <v>4.2911228217931967</v>
      </c>
      <c r="AQ12" s="16">
        <v>4.2911228217931967</v>
      </c>
      <c r="AR12" s="16">
        <v>4.2911228217931967</v>
      </c>
      <c r="AS12" s="16">
        <v>4.2911228217931967</v>
      </c>
      <c r="AT12" s="16">
        <v>4.2911228217931967</v>
      </c>
      <c r="AU12" s="16">
        <v>4.2911228217931967</v>
      </c>
      <c r="AV12" s="16">
        <v>4.2911228217931967</v>
      </c>
      <c r="AW12" s="16">
        <v>4.2911228217931967</v>
      </c>
      <c r="AX12" s="16">
        <v>4.2911228217931967</v>
      </c>
      <c r="AY12" s="16">
        <v>4.2911228217931967</v>
      </c>
      <c r="AZ12" s="16">
        <v>4.2911228217931967</v>
      </c>
      <c r="BA12" s="16">
        <v>4.2911228217931967</v>
      </c>
      <c r="BB12" s="16">
        <v>4.2911228217931967</v>
      </c>
      <c r="BC12" s="16">
        <v>4.2911228217931967</v>
      </c>
      <c r="BD12" s="16">
        <v>4.2911228217931967</v>
      </c>
      <c r="BE12" s="16">
        <v>4.2911228217931967</v>
      </c>
      <c r="BF12" s="16">
        <v>4.2911228217931967</v>
      </c>
      <c r="BG12" s="16">
        <v>4.2911228217931967</v>
      </c>
      <c r="BH12" s="16">
        <v>4.2911228217931967</v>
      </c>
      <c r="BI12" s="16">
        <v>4.2911228217931967</v>
      </c>
      <c r="BJ12" s="16">
        <v>4.2911228217931967</v>
      </c>
      <c r="BK12" s="16">
        <v>4.2911228217931967</v>
      </c>
      <c r="BL12" s="16">
        <v>4.2911228217931967</v>
      </c>
      <c r="BM12" s="16">
        <v>4.2911228217931967</v>
      </c>
      <c r="BN12" s="16">
        <v>4.2911228217931967</v>
      </c>
      <c r="BO12" s="16">
        <v>4.2911228217931967</v>
      </c>
      <c r="BP12" s="16">
        <v>4.2911228217931967</v>
      </c>
      <c r="BQ12" s="16">
        <v>4.2911228217931967</v>
      </c>
      <c r="BR12" s="16">
        <v>4.2911228217931967</v>
      </c>
      <c r="BS12" s="16">
        <v>4.2911228217931967</v>
      </c>
      <c r="BT12" s="16">
        <v>4.2911228217931967</v>
      </c>
      <c r="BU12" s="16">
        <v>4.2911228217931967</v>
      </c>
      <c r="BV12" s="16">
        <v>4.2911228217931967</v>
      </c>
      <c r="BW12" s="16">
        <v>4.2911228217931967</v>
      </c>
      <c r="BX12" s="16">
        <v>4.2911228217931967</v>
      </c>
      <c r="BY12" s="16">
        <v>4.2911228217931967</v>
      </c>
      <c r="BZ12" s="16">
        <v>4.2911228217931967</v>
      </c>
      <c r="CA12" s="16">
        <v>4.2911228217931967</v>
      </c>
      <c r="CB12" s="16">
        <v>4.2911228217931967</v>
      </c>
      <c r="CC12" s="16">
        <v>4.2911228217931967</v>
      </c>
      <c r="CD12" s="16">
        <v>4.2911228217931967</v>
      </c>
      <c r="CE12" s="16">
        <v>4.2911228217931967</v>
      </c>
      <c r="CF12" s="16">
        <v>4.2911228217931967</v>
      </c>
      <c r="CG12" s="16">
        <v>4.2911228217931967</v>
      </c>
      <c r="CH12" s="16">
        <v>4.2911228217931967</v>
      </c>
      <c r="CI12" s="16">
        <v>4.2911228217931967</v>
      </c>
      <c r="CJ12" s="16">
        <v>4.2911228217931967</v>
      </c>
      <c r="CK12" s="16">
        <v>4.2911228217931967</v>
      </c>
      <c r="CL12" s="16">
        <v>4.2911228217931967</v>
      </c>
      <c r="CM12" s="16">
        <v>4.2911228217931967</v>
      </c>
      <c r="CN12" s="16">
        <v>4.2911228217931967</v>
      </c>
      <c r="CO12" s="16">
        <v>4.2911228217931967</v>
      </c>
    </row>
    <row r="13" spans="1:93" s="23" customFormat="1" ht="12" customHeight="1" x14ac:dyDescent="0.2">
      <c r="A13" s="22" t="s">
        <v>34</v>
      </c>
      <c r="B13" s="35" t="s">
        <v>26</v>
      </c>
      <c r="C13" s="16">
        <v>2.6440790793658175</v>
      </c>
      <c r="D13" s="16">
        <v>2.7250532181724338</v>
      </c>
      <c r="E13" s="16">
        <v>2.7700624077346236</v>
      </c>
      <c r="F13" s="16">
        <v>2.8232003311359541</v>
      </c>
      <c r="G13" s="16">
        <v>2.8878399069818785</v>
      </c>
      <c r="H13" s="16">
        <v>2.9640919597408613</v>
      </c>
      <c r="I13" s="16">
        <v>3.0494027081830595</v>
      </c>
      <c r="J13" s="16">
        <v>3.1521996303669537</v>
      </c>
      <c r="K13" s="16">
        <v>3.2780528604466923</v>
      </c>
      <c r="L13" s="16">
        <v>3.4333372145865804</v>
      </c>
      <c r="M13" s="16">
        <v>3.6186598181355998</v>
      </c>
      <c r="N13" s="16">
        <v>3.6568557121147753</v>
      </c>
      <c r="O13" s="16">
        <v>3.6964296842670357</v>
      </c>
      <c r="P13" s="16">
        <v>3.7265546658688793</v>
      </c>
      <c r="Q13" s="16">
        <v>3.7581926423880239</v>
      </c>
      <c r="R13" s="16">
        <v>3.7881778887904978</v>
      </c>
      <c r="S13" s="16">
        <v>3.8148962226008338</v>
      </c>
      <c r="T13" s="16">
        <v>3.8425830658964495</v>
      </c>
      <c r="U13" s="16">
        <v>3.8670704549720343</v>
      </c>
      <c r="V13" s="16">
        <v>3.891071180077406</v>
      </c>
      <c r="W13" s="37">
        <v>3.9143491369101788</v>
      </c>
      <c r="X13" s="16">
        <v>3.9143491369101788</v>
      </c>
      <c r="Y13" s="16">
        <v>3.9143491369101788</v>
      </c>
      <c r="Z13" s="16">
        <v>3.9143491369101788</v>
      </c>
      <c r="AA13" s="16">
        <v>3.9143491369101788</v>
      </c>
      <c r="AB13" s="16">
        <v>3.9143491369101788</v>
      </c>
      <c r="AC13" s="16">
        <v>3.9143491369101788</v>
      </c>
      <c r="AD13" s="16">
        <v>3.9143491369101788</v>
      </c>
      <c r="AE13" s="16">
        <v>3.9143491369101788</v>
      </c>
      <c r="AF13" s="16">
        <v>3.9143491369101788</v>
      </c>
      <c r="AG13" s="16">
        <v>3.9143491369101788</v>
      </c>
      <c r="AH13" s="16">
        <v>3.9143491369101788</v>
      </c>
      <c r="AI13" s="16">
        <v>3.9143491369101788</v>
      </c>
      <c r="AJ13" s="16">
        <v>3.9143491369101788</v>
      </c>
      <c r="AK13" s="16">
        <v>3.9143491369101788</v>
      </c>
      <c r="AL13" s="16">
        <v>3.9143491369101788</v>
      </c>
      <c r="AM13" s="16">
        <v>3.9143491369101788</v>
      </c>
      <c r="AN13" s="16">
        <v>3.9143491369101788</v>
      </c>
      <c r="AO13" s="16">
        <v>3.9143491369101788</v>
      </c>
      <c r="AP13" s="16">
        <v>3.9143491369101788</v>
      </c>
      <c r="AQ13" s="16">
        <v>3.9143491369101788</v>
      </c>
      <c r="AR13" s="16">
        <v>3.9143491369101788</v>
      </c>
      <c r="AS13" s="16">
        <v>3.9143491369101788</v>
      </c>
      <c r="AT13" s="16">
        <v>3.9143491369101788</v>
      </c>
      <c r="AU13" s="16">
        <v>3.9143491369101788</v>
      </c>
      <c r="AV13" s="16">
        <v>3.9143491369101788</v>
      </c>
      <c r="AW13" s="16">
        <v>3.9143491369101788</v>
      </c>
      <c r="AX13" s="16">
        <v>3.9143491369101788</v>
      </c>
      <c r="AY13" s="16">
        <v>3.9143491369101788</v>
      </c>
      <c r="AZ13" s="16">
        <v>3.9143491369101788</v>
      </c>
      <c r="BA13" s="16">
        <v>3.9143491369101788</v>
      </c>
      <c r="BB13" s="16">
        <v>3.9143491369101788</v>
      </c>
      <c r="BC13" s="16">
        <v>3.9143491369101788</v>
      </c>
      <c r="BD13" s="16">
        <v>3.9143491369101788</v>
      </c>
      <c r="BE13" s="16">
        <v>3.9143491369101788</v>
      </c>
      <c r="BF13" s="16">
        <v>3.9143491369101788</v>
      </c>
      <c r="BG13" s="16">
        <v>3.9143491369101788</v>
      </c>
      <c r="BH13" s="16">
        <v>3.9143491369101788</v>
      </c>
      <c r="BI13" s="16">
        <v>3.9143491369101788</v>
      </c>
      <c r="BJ13" s="16">
        <v>3.9143491369101788</v>
      </c>
      <c r="BK13" s="16">
        <v>3.9143491369101788</v>
      </c>
      <c r="BL13" s="16">
        <v>3.9143491369101788</v>
      </c>
      <c r="BM13" s="16">
        <v>3.9143491369101788</v>
      </c>
      <c r="BN13" s="16">
        <v>3.9143491369101788</v>
      </c>
      <c r="BO13" s="16">
        <v>3.9143491369101788</v>
      </c>
      <c r="BP13" s="16">
        <v>3.9143491369101788</v>
      </c>
      <c r="BQ13" s="16">
        <v>3.9143491369101788</v>
      </c>
      <c r="BR13" s="16">
        <v>3.9143491369101788</v>
      </c>
      <c r="BS13" s="16">
        <v>3.9143491369101788</v>
      </c>
      <c r="BT13" s="16">
        <v>3.9143491369101788</v>
      </c>
      <c r="BU13" s="16">
        <v>3.9143491369101788</v>
      </c>
      <c r="BV13" s="16">
        <v>3.9143491369101788</v>
      </c>
      <c r="BW13" s="16">
        <v>3.9143491369101788</v>
      </c>
      <c r="BX13" s="16">
        <v>3.9143491369101788</v>
      </c>
      <c r="BY13" s="16">
        <v>3.9143491369101788</v>
      </c>
      <c r="BZ13" s="16">
        <v>3.9143491369101788</v>
      </c>
      <c r="CA13" s="16">
        <v>3.9143491369101788</v>
      </c>
      <c r="CB13" s="16">
        <v>3.9143491369101788</v>
      </c>
      <c r="CC13" s="16">
        <v>3.9143491369101788</v>
      </c>
      <c r="CD13" s="16">
        <v>3.9143491369101788</v>
      </c>
      <c r="CE13" s="16">
        <v>3.9143491369101788</v>
      </c>
      <c r="CF13" s="16">
        <v>3.9143491369101788</v>
      </c>
      <c r="CG13" s="16">
        <v>3.9143491369101788</v>
      </c>
      <c r="CH13" s="16">
        <v>3.9143491369101788</v>
      </c>
      <c r="CI13" s="16">
        <v>3.9143491369101788</v>
      </c>
      <c r="CJ13" s="16">
        <v>3.9143491369101788</v>
      </c>
      <c r="CK13" s="16">
        <v>3.9143491369101788</v>
      </c>
      <c r="CL13" s="16">
        <v>3.9143491369101788</v>
      </c>
      <c r="CM13" s="16">
        <v>3.9143491369101788</v>
      </c>
      <c r="CN13" s="16">
        <v>3.9143491369101788</v>
      </c>
      <c r="CO13" s="16">
        <v>3.9143491369101788</v>
      </c>
    </row>
    <row r="14" spans="1:93" s="24" customFormat="1" ht="12" customHeight="1" x14ac:dyDescent="0.2">
      <c r="A14" s="22" t="s">
        <v>35</v>
      </c>
      <c r="B14" s="35" t="s">
        <v>26</v>
      </c>
      <c r="C14" s="17">
        <v>2.161963189564621</v>
      </c>
      <c r="D14" s="17">
        <v>2.2425102149730716</v>
      </c>
      <c r="E14" s="17">
        <v>2.2748302326035437</v>
      </c>
      <c r="F14" s="17">
        <v>2.3071466643162681</v>
      </c>
      <c r="G14" s="17">
        <v>2.3394666819467398</v>
      </c>
      <c r="H14" s="17">
        <v>2.3717866995772114</v>
      </c>
      <c r="I14" s="17">
        <v>2.404106717207684</v>
      </c>
      <c r="J14" s="17">
        <v>2.4364231489204089</v>
      </c>
      <c r="K14" s="17">
        <v>2.4687431665508806</v>
      </c>
      <c r="L14" s="17">
        <v>2.5010631841813522</v>
      </c>
      <c r="M14" s="17">
        <v>2.5333832018118239</v>
      </c>
      <c r="N14" s="17">
        <v>2.5656996335245492</v>
      </c>
      <c r="O14" s="17">
        <v>2.5980196511550204</v>
      </c>
      <c r="P14" s="17">
        <v>2.6303396687854916</v>
      </c>
      <c r="Q14" s="17">
        <v>2.6626596864159637</v>
      </c>
      <c r="R14" s="17">
        <v>2.6949761181286886</v>
      </c>
      <c r="S14" s="17">
        <v>2.7272961357591603</v>
      </c>
      <c r="T14" s="17">
        <v>2.7596161533896324</v>
      </c>
      <c r="U14" s="17">
        <v>2.7919361710201041</v>
      </c>
      <c r="V14" s="17">
        <v>2.8242526027328285</v>
      </c>
      <c r="W14" s="17">
        <v>2.8565726203633006</v>
      </c>
      <c r="X14" s="17">
        <v>2.8565726203633006</v>
      </c>
      <c r="Y14" s="17">
        <v>2.8565726203633006</v>
      </c>
      <c r="Z14" s="17">
        <v>2.8565726203633006</v>
      </c>
      <c r="AA14" s="17">
        <v>2.8565726203633006</v>
      </c>
      <c r="AB14" s="17">
        <v>2.8565726203633006</v>
      </c>
      <c r="AC14" s="17">
        <v>2.8565726203633006</v>
      </c>
      <c r="AD14" s="17">
        <v>2.8565726203633006</v>
      </c>
      <c r="AE14" s="17">
        <v>2.8565726203633006</v>
      </c>
      <c r="AF14" s="17">
        <v>2.8565726203633006</v>
      </c>
      <c r="AG14" s="17">
        <v>2.8565726203633006</v>
      </c>
      <c r="AH14" s="17">
        <v>2.8565726203633006</v>
      </c>
      <c r="AI14" s="17">
        <v>2.8565726203633006</v>
      </c>
      <c r="AJ14" s="17">
        <v>2.8565726203633006</v>
      </c>
      <c r="AK14" s="17">
        <v>2.8565726203633006</v>
      </c>
      <c r="AL14" s="17">
        <v>2.8565726203633006</v>
      </c>
      <c r="AM14" s="17">
        <v>2.8565726203633006</v>
      </c>
      <c r="AN14" s="17">
        <v>2.8565726203633006</v>
      </c>
      <c r="AO14" s="17">
        <v>2.8565726203633006</v>
      </c>
      <c r="AP14" s="17">
        <v>2.8565726203633006</v>
      </c>
      <c r="AQ14" s="17">
        <v>2.8565726203633006</v>
      </c>
      <c r="AR14" s="17">
        <v>2.8565726203633006</v>
      </c>
      <c r="AS14" s="17">
        <v>2.8565726203633006</v>
      </c>
      <c r="AT14" s="17">
        <v>2.8565726203633006</v>
      </c>
      <c r="AU14" s="17">
        <v>2.8565726203633006</v>
      </c>
      <c r="AV14" s="17">
        <v>2.8565726203633006</v>
      </c>
      <c r="AW14" s="17">
        <v>2.8565726203633006</v>
      </c>
      <c r="AX14" s="17">
        <v>2.8565726203633006</v>
      </c>
      <c r="AY14" s="17">
        <v>2.8565726203633006</v>
      </c>
      <c r="AZ14" s="17">
        <v>2.8565726203633006</v>
      </c>
      <c r="BA14" s="17">
        <v>2.8565726203633006</v>
      </c>
      <c r="BB14" s="17">
        <v>2.8565726203633006</v>
      </c>
      <c r="BC14" s="17">
        <v>2.8565726203633006</v>
      </c>
      <c r="BD14" s="17">
        <v>2.8565726203633006</v>
      </c>
      <c r="BE14" s="17">
        <v>2.8565726203633006</v>
      </c>
      <c r="BF14" s="17">
        <v>2.8565726203633006</v>
      </c>
      <c r="BG14" s="17">
        <v>2.8565726203633006</v>
      </c>
      <c r="BH14" s="17">
        <v>2.8565726203633006</v>
      </c>
      <c r="BI14" s="17">
        <v>2.8565726203633006</v>
      </c>
      <c r="BJ14" s="17">
        <v>2.8565726203633006</v>
      </c>
      <c r="BK14" s="17">
        <v>2.8565726203633006</v>
      </c>
      <c r="BL14" s="17">
        <v>2.8565726203633006</v>
      </c>
      <c r="BM14" s="17">
        <v>2.8565726203633006</v>
      </c>
      <c r="BN14" s="17">
        <v>2.8565726203633006</v>
      </c>
      <c r="BO14" s="17">
        <v>2.8565726203633006</v>
      </c>
      <c r="BP14" s="17">
        <v>2.8565726203633006</v>
      </c>
      <c r="BQ14" s="17">
        <v>2.8565726203633006</v>
      </c>
      <c r="BR14" s="17">
        <v>2.8565726203633006</v>
      </c>
      <c r="BS14" s="17">
        <v>2.8565726203633006</v>
      </c>
      <c r="BT14" s="17">
        <v>2.8565726203633006</v>
      </c>
      <c r="BU14" s="17">
        <v>2.8565726203633006</v>
      </c>
      <c r="BV14" s="17">
        <v>2.8565726203633006</v>
      </c>
      <c r="BW14" s="17">
        <v>2.8565726203633006</v>
      </c>
      <c r="BX14" s="17">
        <v>2.8565726203633006</v>
      </c>
      <c r="BY14" s="17">
        <v>2.8565726203633006</v>
      </c>
      <c r="BZ14" s="17">
        <v>2.8565726203633006</v>
      </c>
      <c r="CA14" s="17">
        <v>2.8565726203633006</v>
      </c>
      <c r="CB14" s="17">
        <v>2.8565726203633006</v>
      </c>
      <c r="CC14" s="17">
        <v>2.8565726203633006</v>
      </c>
      <c r="CD14" s="17">
        <v>2.8565726203633006</v>
      </c>
      <c r="CE14" s="17">
        <v>2.8565726203633006</v>
      </c>
      <c r="CF14" s="17">
        <v>2.8565726203633006</v>
      </c>
      <c r="CG14" s="17">
        <v>2.8565726203633006</v>
      </c>
      <c r="CH14" s="17">
        <v>2.8565726203633006</v>
      </c>
      <c r="CI14" s="17">
        <v>2.8565726203633006</v>
      </c>
      <c r="CJ14" s="17">
        <v>2.8565726203633006</v>
      </c>
      <c r="CK14" s="17">
        <v>2.8565726203633006</v>
      </c>
      <c r="CL14" s="17">
        <v>2.8565726203633006</v>
      </c>
      <c r="CM14" s="17">
        <v>2.8565726203633006</v>
      </c>
      <c r="CN14" s="17">
        <v>2.8565726203633006</v>
      </c>
      <c r="CO14" s="17">
        <v>2.8565726203633006</v>
      </c>
    </row>
    <row r="15" spans="1:93" s="24" customFormat="1" ht="12" customHeight="1" x14ac:dyDescent="0.2">
      <c r="A15" s="22" t="s">
        <v>36</v>
      </c>
      <c r="B15" s="35" t="s">
        <v>26</v>
      </c>
      <c r="C15" s="16">
        <v>2.0634995068676831</v>
      </c>
      <c r="D15" s="16">
        <v>2.1385789475342354</v>
      </c>
      <c r="E15" s="16">
        <v>2.1654697537898242</v>
      </c>
      <c r="F15" s="16">
        <v>2.1923976791222057</v>
      </c>
      <c r="G15" s="16">
        <v>2.2193722321548597</v>
      </c>
      <c r="H15" s="16">
        <v>2.2463921878696782</v>
      </c>
      <c r="I15" s="16">
        <v>2.2734599468928205</v>
      </c>
      <c r="J15" s="16">
        <v>2.3005743768431413</v>
      </c>
      <c r="K15" s="16">
        <v>2.3277451674075644</v>
      </c>
      <c r="L15" s="16">
        <v>2.3549713249350512</v>
      </c>
      <c r="M15" s="16">
        <v>2.3822555252563555</v>
      </c>
      <c r="N15" s="16">
        <v>2.4095969503101511</v>
      </c>
      <c r="O15" s="16">
        <v>2.4370056397898536</v>
      </c>
      <c r="P15" s="16">
        <v>2.4644809832826757</v>
      </c>
      <c r="Q15" s="16">
        <v>2.4920260713775404</v>
      </c>
      <c r="R15" s="16">
        <v>2.5196405311546224</v>
      </c>
      <c r="S15" s="16">
        <v>2.5473348771475122</v>
      </c>
      <c r="T15" s="16">
        <v>2.5751090031580501</v>
      </c>
      <c r="U15" s="16">
        <v>2.6029665333321499</v>
      </c>
      <c r="V15" s="16">
        <v>2.6309076578580251</v>
      </c>
      <c r="W15" s="37">
        <v>2.6589434843390243</v>
      </c>
      <c r="X15" s="37">
        <v>2.6589434843390243</v>
      </c>
      <c r="Y15" s="37">
        <v>2.6589434843390243</v>
      </c>
      <c r="Z15" s="37">
        <v>2.6589434843390243</v>
      </c>
      <c r="AA15" s="37">
        <v>2.6589434843390243</v>
      </c>
      <c r="AB15" s="37">
        <v>2.6589434843390243</v>
      </c>
      <c r="AC15" s="37">
        <v>2.6589434843390243</v>
      </c>
      <c r="AD15" s="37">
        <v>2.6589434843390243</v>
      </c>
      <c r="AE15" s="37">
        <v>2.6589434843390243</v>
      </c>
      <c r="AF15" s="37">
        <v>2.6589434843390243</v>
      </c>
      <c r="AG15" s="37">
        <v>2.6589434843390243</v>
      </c>
      <c r="AH15" s="37">
        <v>2.6589434843390243</v>
      </c>
      <c r="AI15" s="37">
        <v>2.6589434843390243</v>
      </c>
      <c r="AJ15" s="37">
        <v>2.6589434843390243</v>
      </c>
      <c r="AK15" s="37">
        <v>2.6589434843390243</v>
      </c>
      <c r="AL15" s="37">
        <v>2.6589434843390243</v>
      </c>
      <c r="AM15" s="37">
        <v>2.6589434843390243</v>
      </c>
      <c r="AN15" s="37">
        <v>2.6589434843390243</v>
      </c>
      <c r="AO15" s="37">
        <v>2.6589434843390243</v>
      </c>
      <c r="AP15" s="37">
        <v>2.6589434843390243</v>
      </c>
      <c r="AQ15" s="37">
        <v>2.6589434843390243</v>
      </c>
      <c r="AR15" s="37">
        <v>2.6589434843390243</v>
      </c>
      <c r="AS15" s="37">
        <v>2.6589434843390243</v>
      </c>
      <c r="AT15" s="37">
        <v>2.6589434843390243</v>
      </c>
      <c r="AU15" s="37">
        <v>2.6589434843390243</v>
      </c>
      <c r="AV15" s="37">
        <v>2.6589434843390243</v>
      </c>
      <c r="AW15" s="37">
        <v>2.6589434843390243</v>
      </c>
      <c r="AX15" s="37">
        <v>2.6589434843390243</v>
      </c>
      <c r="AY15" s="37">
        <v>2.6589434843390243</v>
      </c>
      <c r="AZ15" s="37">
        <v>2.6589434843390243</v>
      </c>
      <c r="BA15" s="37">
        <v>2.6589434843390243</v>
      </c>
      <c r="BB15" s="37">
        <v>2.6589434843390243</v>
      </c>
      <c r="BC15" s="37">
        <v>2.6589434843390243</v>
      </c>
      <c r="BD15" s="37">
        <v>2.6589434843390243</v>
      </c>
      <c r="BE15" s="37">
        <v>2.6589434843390243</v>
      </c>
      <c r="BF15" s="37">
        <v>2.6589434843390243</v>
      </c>
      <c r="BG15" s="37">
        <v>2.6589434843390243</v>
      </c>
      <c r="BH15" s="37">
        <v>2.6589434843390243</v>
      </c>
      <c r="BI15" s="37">
        <v>2.6589434843390243</v>
      </c>
      <c r="BJ15" s="37">
        <v>2.6589434843390243</v>
      </c>
      <c r="BK15" s="37">
        <v>2.6589434843390243</v>
      </c>
      <c r="BL15" s="37">
        <v>2.6589434843390243</v>
      </c>
      <c r="BM15" s="37">
        <v>2.6589434843390243</v>
      </c>
      <c r="BN15" s="37">
        <v>2.6589434843390243</v>
      </c>
      <c r="BO15" s="37">
        <v>2.6589434843390243</v>
      </c>
      <c r="BP15" s="37">
        <v>2.6589434843390243</v>
      </c>
      <c r="BQ15" s="37">
        <v>2.6589434843390243</v>
      </c>
      <c r="BR15" s="37">
        <v>2.6589434843390243</v>
      </c>
      <c r="BS15" s="37">
        <v>2.6589434843390243</v>
      </c>
      <c r="BT15" s="37">
        <v>2.6589434843390243</v>
      </c>
      <c r="BU15" s="37">
        <v>2.6589434843390243</v>
      </c>
      <c r="BV15" s="37">
        <v>2.6589434843390243</v>
      </c>
      <c r="BW15" s="37">
        <v>2.6589434843390243</v>
      </c>
      <c r="BX15" s="37">
        <v>2.6589434843390243</v>
      </c>
      <c r="BY15" s="37">
        <v>2.6589434843390243</v>
      </c>
      <c r="BZ15" s="37">
        <v>2.6589434843390243</v>
      </c>
      <c r="CA15" s="37">
        <v>2.6589434843390243</v>
      </c>
      <c r="CB15" s="37">
        <v>2.6589434843390243</v>
      </c>
      <c r="CC15" s="37">
        <v>2.6589434843390243</v>
      </c>
      <c r="CD15" s="37">
        <v>2.6589434843390243</v>
      </c>
      <c r="CE15" s="37">
        <v>2.6589434843390243</v>
      </c>
      <c r="CF15" s="37">
        <v>2.6589434843390243</v>
      </c>
      <c r="CG15" s="37">
        <v>2.6589434843390243</v>
      </c>
      <c r="CH15" s="37">
        <v>2.6589434843390243</v>
      </c>
      <c r="CI15" s="37">
        <v>2.6589434843390243</v>
      </c>
      <c r="CJ15" s="37">
        <v>2.6589434843390243</v>
      </c>
      <c r="CK15" s="37">
        <v>2.6589434843390243</v>
      </c>
      <c r="CL15" s="37">
        <v>2.6589434843390243</v>
      </c>
      <c r="CM15" s="37">
        <v>2.6589434843390243</v>
      </c>
      <c r="CN15" s="37">
        <v>2.6589434843390243</v>
      </c>
      <c r="CO15" s="37">
        <v>2.6589434843390243</v>
      </c>
    </row>
    <row r="16" spans="1:93" s="24" customFormat="1" ht="12" customHeight="1" x14ac:dyDescent="0.2">
      <c r="A16" s="22" t="s">
        <v>37</v>
      </c>
      <c r="B16" s="35" t="s">
        <v>26</v>
      </c>
      <c r="C16" s="16">
        <v>2.0634995068676831</v>
      </c>
      <c r="D16" s="16">
        <v>2.1385789475342354</v>
      </c>
      <c r="E16" s="16">
        <v>2.1654697537898242</v>
      </c>
      <c r="F16" s="16">
        <v>2.1923976791222057</v>
      </c>
      <c r="G16" s="16">
        <v>2.2193722321548597</v>
      </c>
      <c r="H16" s="16">
        <v>2.2463921878696782</v>
      </c>
      <c r="I16" s="16">
        <v>2.2734599468928205</v>
      </c>
      <c r="J16" s="16">
        <v>2.3005743768431413</v>
      </c>
      <c r="K16" s="16">
        <v>2.3277451674075644</v>
      </c>
      <c r="L16" s="16">
        <v>2.3549713249350512</v>
      </c>
      <c r="M16" s="16">
        <v>2.3822555252563555</v>
      </c>
      <c r="N16" s="16">
        <v>2.4095969503101511</v>
      </c>
      <c r="O16" s="16">
        <v>2.4370056397898536</v>
      </c>
      <c r="P16" s="16">
        <v>2.4644809832826757</v>
      </c>
      <c r="Q16" s="16">
        <v>2.4920260713775404</v>
      </c>
      <c r="R16" s="16">
        <v>2.5196405311546224</v>
      </c>
      <c r="S16" s="16">
        <v>2.5473348771475122</v>
      </c>
      <c r="T16" s="16">
        <v>2.5751090031580501</v>
      </c>
      <c r="U16" s="16">
        <v>2.6029665333321499</v>
      </c>
      <c r="V16" s="16">
        <v>2.6309076578580251</v>
      </c>
      <c r="W16" s="37">
        <v>2.6589434843390243</v>
      </c>
      <c r="X16" s="37">
        <v>2.6589434843390243</v>
      </c>
      <c r="Y16" s="37">
        <v>2.6589434843390243</v>
      </c>
      <c r="Z16" s="37">
        <v>2.6589434843390243</v>
      </c>
      <c r="AA16" s="37">
        <v>2.6589434843390243</v>
      </c>
      <c r="AB16" s="37">
        <v>2.6589434843390243</v>
      </c>
      <c r="AC16" s="37">
        <v>2.6589434843390243</v>
      </c>
      <c r="AD16" s="37">
        <v>2.6589434843390243</v>
      </c>
      <c r="AE16" s="37">
        <v>2.6589434843390243</v>
      </c>
      <c r="AF16" s="37">
        <v>2.6589434843390243</v>
      </c>
      <c r="AG16" s="37">
        <v>2.6589434843390243</v>
      </c>
      <c r="AH16" s="37">
        <v>2.6589434843390243</v>
      </c>
      <c r="AI16" s="37">
        <v>2.6589434843390243</v>
      </c>
      <c r="AJ16" s="37">
        <v>2.6589434843390243</v>
      </c>
      <c r="AK16" s="37">
        <v>2.6589434843390243</v>
      </c>
      <c r="AL16" s="37">
        <v>2.6589434843390243</v>
      </c>
      <c r="AM16" s="37">
        <v>2.6589434843390243</v>
      </c>
      <c r="AN16" s="37">
        <v>2.6589434843390243</v>
      </c>
      <c r="AO16" s="37">
        <v>2.6589434843390243</v>
      </c>
      <c r="AP16" s="37">
        <v>2.6589434843390243</v>
      </c>
      <c r="AQ16" s="37">
        <v>2.6589434843390243</v>
      </c>
      <c r="AR16" s="37">
        <v>2.6589434843390243</v>
      </c>
      <c r="AS16" s="37">
        <v>2.6589434843390243</v>
      </c>
      <c r="AT16" s="37">
        <v>2.6589434843390243</v>
      </c>
      <c r="AU16" s="37">
        <v>2.6589434843390243</v>
      </c>
      <c r="AV16" s="37">
        <v>2.6589434843390243</v>
      </c>
      <c r="AW16" s="37">
        <v>2.6589434843390243</v>
      </c>
      <c r="AX16" s="37">
        <v>2.6589434843390243</v>
      </c>
      <c r="AY16" s="37">
        <v>2.6589434843390243</v>
      </c>
      <c r="AZ16" s="37">
        <v>2.6589434843390243</v>
      </c>
      <c r="BA16" s="37">
        <v>2.6589434843390243</v>
      </c>
      <c r="BB16" s="37">
        <v>2.6589434843390243</v>
      </c>
      <c r="BC16" s="37">
        <v>2.6589434843390243</v>
      </c>
      <c r="BD16" s="37">
        <v>2.6589434843390243</v>
      </c>
      <c r="BE16" s="37">
        <v>2.6589434843390243</v>
      </c>
      <c r="BF16" s="37">
        <v>2.6589434843390243</v>
      </c>
      <c r="BG16" s="37">
        <v>2.6589434843390243</v>
      </c>
      <c r="BH16" s="37">
        <v>2.6589434843390243</v>
      </c>
      <c r="BI16" s="37">
        <v>2.6589434843390243</v>
      </c>
      <c r="BJ16" s="37">
        <v>2.6589434843390243</v>
      </c>
      <c r="BK16" s="37">
        <v>2.6589434843390243</v>
      </c>
      <c r="BL16" s="37">
        <v>2.6589434843390243</v>
      </c>
      <c r="BM16" s="37">
        <v>2.6589434843390243</v>
      </c>
      <c r="BN16" s="37">
        <v>2.6589434843390243</v>
      </c>
      <c r="BO16" s="37">
        <v>2.6589434843390243</v>
      </c>
      <c r="BP16" s="37">
        <v>2.6589434843390243</v>
      </c>
      <c r="BQ16" s="37">
        <v>2.6589434843390243</v>
      </c>
      <c r="BR16" s="37">
        <v>2.6589434843390243</v>
      </c>
      <c r="BS16" s="37">
        <v>2.6589434843390243</v>
      </c>
      <c r="BT16" s="37">
        <v>2.6589434843390243</v>
      </c>
      <c r="BU16" s="37">
        <v>2.6589434843390243</v>
      </c>
      <c r="BV16" s="37">
        <v>2.6589434843390243</v>
      </c>
      <c r="BW16" s="37">
        <v>2.6589434843390243</v>
      </c>
      <c r="BX16" s="37">
        <v>2.6589434843390243</v>
      </c>
      <c r="BY16" s="37">
        <v>2.6589434843390243</v>
      </c>
      <c r="BZ16" s="37">
        <v>2.6589434843390243</v>
      </c>
      <c r="CA16" s="37">
        <v>2.6589434843390243</v>
      </c>
      <c r="CB16" s="37">
        <v>2.6589434843390243</v>
      </c>
      <c r="CC16" s="37">
        <v>2.6589434843390243</v>
      </c>
      <c r="CD16" s="37">
        <v>2.6589434843390243</v>
      </c>
      <c r="CE16" s="37">
        <v>2.6589434843390243</v>
      </c>
      <c r="CF16" s="37">
        <v>2.6589434843390243</v>
      </c>
      <c r="CG16" s="37">
        <v>2.6589434843390243</v>
      </c>
      <c r="CH16" s="37">
        <v>2.6589434843390243</v>
      </c>
      <c r="CI16" s="37">
        <v>2.6589434843390243</v>
      </c>
      <c r="CJ16" s="37">
        <v>2.6589434843390243</v>
      </c>
      <c r="CK16" s="37">
        <v>2.6589434843390243</v>
      </c>
      <c r="CL16" s="37">
        <v>2.6589434843390243</v>
      </c>
      <c r="CM16" s="37">
        <v>2.6589434843390243</v>
      </c>
      <c r="CN16" s="37">
        <v>2.6589434843390243</v>
      </c>
      <c r="CO16" s="37">
        <v>2.6589434843390243</v>
      </c>
    </row>
    <row r="17" spans="1:93" x14ac:dyDescent="0.2">
      <c r="A17" s="20"/>
      <c r="C17" s="21">
        <f>(C11-C12)/C11</f>
        <v>0.22656364246242555</v>
      </c>
      <c r="D17" s="21">
        <f>(C11-C12)/C12</f>
        <v>0.29293120274788587</v>
      </c>
      <c r="E17" s="21"/>
      <c r="F17" s="21"/>
      <c r="G17" s="21"/>
      <c r="H17" s="21"/>
      <c r="I17" s="21"/>
      <c r="J17" s="21"/>
      <c r="K17" s="21"/>
      <c r="L17" s="21"/>
      <c r="M17" s="21"/>
      <c r="N17" s="21"/>
      <c r="O17" s="21"/>
      <c r="P17" s="21"/>
      <c r="Q17" s="21"/>
      <c r="R17" s="21"/>
      <c r="S17" s="21"/>
      <c r="T17" s="21"/>
      <c r="U17" s="21"/>
      <c r="V17" s="21"/>
      <c r="W17" s="25"/>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row>
    <row r="18" spans="1:93" x14ac:dyDescent="0.2">
      <c r="A18" s="18" t="s">
        <v>38</v>
      </c>
      <c r="B18" s="5" t="s">
        <v>26</v>
      </c>
      <c r="C18" s="19">
        <v>3.1221209949841335</v>
      </c>
      <c r="D18" s="19">
        <v>3.0675265294980725</v>
      </c>
      <c r="E18" s="19">
        <v>3.0095199099191321</v>
      </c>
      <c r="F18" s="19">
        <v>2.9515132903401917</v>
      </c>
      <c r="G18" s="19">
        <v>2.8935066707612518</v>
      </c>
      <c r="H18" s="19">
        <v>2.8389122052751903</v>
      </c>
      <c r="I18" s="19">
        <v>2.8389122052751903</v>
      </c>
      <c r="J18" s="19">
        <v>2.8389122052751903</v>
      </c>
      <c r="K18" s="19">
        <v>2.8389122052751903</v>
      </c>
      <c r="L18" s="19">
        <v>2.8389122052751903</v>
      </c>
      <c r="M18" s="19">
        <v>2.8389122052751903</v>
      </c>
      <c r="N18" s="19">
        <v>2.8389122052751903</v>
      </c>
      <c r="O18" s="19">
        <v>2.8389122052751903</v>
      </c>
      <c r="P18" s="19">
        <v>2.8389122052751903</v>
      </c>
      <c r="Q18" s="19">
        <v>2.8389122052751903</v>
      </c>
      <c r="R18" s="19">
        <v>2.8389122052751903</v>
      </c>
      <c r="S18" s="19">
        <v>2.8389122052751903</v>
      </c>
      <c r="T18" s="19">
        <v>2.8389122052751903</v>
      </c>
      <c r="U18" s="19">
        <v>2.8389122052751903</v>
      </c>
      <c r="V18" s="19">
        <v>2.8389122052751903</v>
      </c>
      <c r="W18" s="26">
        <v>2.8389122052751903</v>
      </c>
      <c r="X18" s="19">
        <v>2.8389122052751903</v>
      </c>
      <c r="Y18" s="19">
        <v>2.8389122052751903</v>
      </c>
      <c r="Z18" s="19">
        <v>2.8389122052751903</v>
      </c>
      <c r="AA18" s="19">
        <v>2.8389122052751903</v>
      </c>
      <c r="AB18" s="19">
        <v>2.8389122052751903</v>
      </c>
      <c r="AC18" s="19">
        <v>2.8389122052751903</v>
      </c>
      <c r="AD18" s="19">
        <v>2.8389122052751903</v>
      </c>
      <c r="AE18" s="19">
        <v>2.8389122052751903</v>
      </c>
      <c r="AF18" s="19">
        <v>2.8389122052751903</v>
      </c>
      <c r="AG18" s="19">
        <v>2.8389122052751903</v>
      </c>
      <c r="AH18" s="19">
        <v>2.8389122052751903</v>
      </c>
      <c r="AI18" s="19">
        <v>2.8389122052751903</v>
      </c>
      <c r="AJ18" s="19">
        <v>2.8389122052751903</v>
      </c>
      <c r="AK18" s="19">
        <v>2.8389122052751903</v>
      </c>
      <c r="AL18" s="19">
        <v>2.8389122052751903</v>
      </c>
      <c r="AM18" s="19">
        <v>2.8389122052751903</v>
      </c>
      <c r="AN18" s="19">
        <v>2.8389122052751903</v>
      </c>
      <c r="AO18" s="19">
        <v>2.8389122052751903</v>
      </c>
      <c r="AP18" s="19">
        <v>2.8389122052751903</v>
      </c>
      <c r="AQ18" s="19">
        <v>2.8389122052751903</v>
      </c>
      <c r="AR18" s="19">
        <v>2.8389122052751903</v>
      </c>
      <c r="AS18" s="19">
        <v>2.8389122052751903</v>
      </c>
      <c r="AT18" s="19">
        <v>2.8389122052751903</v>
      </c>
      <c r="AU18" s="19">
        <v>2.8389122052751903</v>
      </c>
      <c r="AV18" s="19">
        <v>2.8389122052751903</v>
      </c>
      <c r="AW18" s="19">
        <v>2.8389122052751903</v>
      </c>
      <c r="AX18" s="19">
        <v>2.8389122052751903</v>
      </c>
      <c r="AY18" s="19">
        <v>2.8389122052751903</v>
      </c>
      <c r="AZ18" s="19">
        <v>2.8389122052751903</v>
      </c>
      <c r="BA18" s="19">
        <v>2.8389122052751903</v>
      </c>
      <c r="BB18" s="21">
        <v>2.8389122052751903</v>
      </c>
      <c r="BC18" s="21">
        <v>2.8389122052751903</v>
      </c>
      <c r="BD18" s="21">
        <v>2.8389122052751903</v>
      </c>
      <c r="BE18" s="21">
        <v>2.8389122052751903</v>
      </c>
      <c r="BF18" s="21">
        <v>2.8389122052751903</v>
      </c>
      <c r="BG18" s="21">
        <v>2.8389122052751903</v>
      </c>
      <c r="BH18" s="21">
        <v>2.8389122052751903</v>
      </c>
      <c r="BI18" s="21">
        <v>2.8389122052751903</v>
      </c>
      <c r="BJ18" s="21">
        <v>2.8389122052751903</v>
      </c>
      <c r="BK18" s="21">
        <v>2.8389122052751903</v>
      </c>
      <c r="BL18" s="21">
        <v>2.8389122052751903</v>
      </c>
      <c r="BM18" s="21">
        <v>2.8389122052751903</v>
      </c>
      <c r="BN18" s="21">
        <v>2.8389122052751903</v>
      </c>
      <c r="BO18" s="21">
        <v>2.8389122052751903</v>
      </c>
      <c r="BP18" s="21">
        <v>2.8389122052751903</v>
      </c>
      <c r="BQ18" s="21">
        <v>2.8389122052751903</v>
      </c>
      <c r="BR18" s="21">
        <v>2.8389122052751903</v>
      </c>
      <c r="BS18" s="21">
        <v>2.8389122052751903</v>
      </c>
      <c r="BT18" s="21">
        <v>2.8389122052751903</v>
      </c>
      <c r="BU18" s="21">
        <v>2.8389122052751903</v>
      </c>
      <c r="BV18" s="21">
        <v>2.8389122052751903</v>
      </c>
      <c r="BW18" s="21">
        <v>2.8389122052751903</v>
      </c>
      <c r="BX18" s="21">
        <v>2.8389122052751903</v>
      </c>
      <c r="BY18" s="21">
        <v>2.8389122052751903</v>
      </c>
      <c r="BZ18" s="21">
        <v>2.8389122052751903</v>
      </c>
      <c r="CA18" s="21">
        <v>2.8389122052751903</v>
      </c>
      <c r="CB18" s="21">
        <v>2.8389122052751903</v>
      </c>
      <c r="CC18" s="21">
        <v>2.8389122052751903</v>
      </c>
      <c r="CD18" s="21">
        <v>2.8389122052751903</v>
      </c>
      <c r="CE18" s="21">
        <v>2.8389122052751903</v>
      </c>
      <c r="CF18" s="21">
        <v>2.8389122052751903</v>
      </c>
      <c r="CG18" s="21">
        <v>2.8389122052751903</v>
      </c>
      <c r="CH18" s="21">
        <v>2.8389122052751903</v>
      </c>
      <c r="CI18" s="21">
        <v>2.8389122052751903</v>
      </c>
      <c r="CJ18" s="21">
        <v>2.8389122052751903</v>
      </c>
      <c r="CK18" s="21">
        <v>2.8389122052751903</v>
      </c>
      <c r="CL18" s="21">
        <v>2.8389122052751903</v>
      </c>
      <c r="CM18" s="21">
        <v>2.8389122052751903</v>
      </c>
      <c r="CN18" s="21">
        <v>2.8389122052751903</v>
      </c>
      <c r="CO18" s="21">
        <v>2.8389122052751903</v>
      </c>
    </row>
    <row r="19" spans="1:93" x14ac:dyDescent="0.2">
      <c r="A19" s="4" t="s">
        <v>39</v>
      </c>
      <c r="B19" s="5" t="s">
        <v>26</v>
      </c>
      <c r="C19" s="19">
        <v>1.4569897976592625</v>
      </c>
      <c r="D19" s="19">
        <v>1.402395332173201</v>
      </c>
      <c r="E19" s="19">
        <v>1.3478008666871397</v>
      </c>
      <c r="F19" s="19">
        <v>1.2932064012010782</v>
      </c>
      <c r="G19" s="19">
        <v>1.2386119357150169</v>
      </c>
      <c r="H19" s="19">
        <v>1.1840174702289556</v>
      </c>
      <c r="I19" s="19">
        <v>1.1840174702289556</v>
      </c>
      <c r="J19" s="19">
        <v>1.1840174702289556</v>
      </c>
      <c r="K19" s="19">
        <v>1.1840174702289556</v>
      </c>
      <c r="L19" s="19">
        <v>1.1840174702289556</v>
      </c>
      <c r="M19" s="19">
        <v>1.1840174702289556</v>
      </c>
      <c r="N19" s="19">
        <v>1.1840174702289556</v>
      </c>
      <c r="O19" s="19">
        <v>1.1840174702289556</v>
      </c>
      <c r="P19" s="19">
        <v>1.1840174702289556</v>
      </c>
      <c r="Q19" s="19">
        <v>1.1840174702289556</v>
      </c>
      <c r="R19" s="19">
        <v>1.1840174702289556</v>
      </c>
      <c r="S19" s="19">
        <v>1.1840174702289556</v>
      </c>
      <c r="T19" s="19">
        <v>1.1840174702289556</v>
      </c>
      <c r="U19" s="19">
        <v>1.1840174702289556</v>
      </c>
      <c r="V19" s="19">
        <v>1.1840174702289556</v>
      </c>
      <c r="W19" s="26">
        <v>1.1840174702289556</v>
      </c>
      <c r="X19" s="19">
        <v>1.1840174702289556</v>
      </c>
      <c r="Y19" s="19">
        <v>1.1840174702289556</v>
      </c>
      <c r="Z19" s="19">
        <v>1.1840174702289556</v>
      </c>
      <c r="AA19" s="19">
        <v>1.1840174702289556</v>
      </c>
      <c r="AB19" s="19">
        <v>1.1840174702289556</v>
      </c>
      <c r="AC19" s="19">
        <v>1.1840174702289556</v>
      </c>
      <c r="AD19" s="19">
        <v>1.1840174702289556</v>
      </c>
      <c r="AE19" s="19">
        <v>1.1840174702289556</v>
      </c>
      <c r="AF19" s="19">
        <v>1.1840174702289556</v>
      </c>
      <c r="AG19" s="19">
        <v>1.1840174702289556</v>
      </c>
      <c r="AH19" s="19">
        <v>1.1840174702289556</v>
      </c>
      <c r="AI19" s="19">
        <v>1.1840174702289556</v>
      </c>
      <c r="AJ19" s="19">
        <v>1.1840174702289556</v>
      </c>
      <c r="AK19" s="19">
        <v>1.1840174702289556</v>
      </c>
      <c r="AL19" s="19">
        <v>1.1840174702289556</v>
      </c>
      <c r="AM19" s="19">
        <v>1.1840174702289556</v>
      </c>
      <c r="AN19" s="19">
        <v>1.1840174702289556</v>
      </c>
      <c r="AO19" s="19">
        <v>1.1840174702289556</v>
      </c>
      <c r="AP19" s="19">
        <v>1.1840174702289556</v>
      </c>
      <c r="AQ19" s="19">
        <v>1.1840174702289556</v>
      </c>
      <c r="AR19" s="19">
        <v>1.1840174702289556</v>
      </c>
      <c r="AS19" s="19">
        <v>1.1840174702289556</v>
      </c>
      <c r="AT19" s="19">
        <v>1.1840174702289556</v>
      </c>
      <c r="AU19" s="19">
        <v>1.1840174702289556</v>
      </c>
      <c r="AV19" s="19">
        <v>1.1840174702289556</v>
      </c>
      <c r="AW19" s="19">
        <v>1.1840174702289556</v>
      </c>
      <c r="AX19" s="19">
        <v>1.1840174702289556</v>
      </c>
      <c r="AY19" s="19">
        <v>1.1840174702289556</v>
      </c>
      <c r="AZ19" s="19">
        <v>1.1840174702289556</v>
      </c>
      <c r="BA19" s="19">
        <v>1.1840174702289556</v>
      </c>
      <c r="BB19" s="21">
        <v>1.1840174702289556</v>
      </c>
      <c r="BC19" s="21">
        <v>1.1840174702289556</v>
      </c>
      <c r="BD19" s="21">
        <v>1.1840174702289556</v>
      </c>
      <c r="BE19" s="21">
        <v>1.1840174702289556</v>
      </c>
      <c r="BF19" s="21">
        <v>1.1840174702289556</v>
      </c>
      <c r="BG19" s="21">
        <v>1.1840174702289556</v>
      </c>
      <c r="BH19" s="21">
        <v>1.1840174702289556</v>
      </c>
      <c r="BI19" s="21">
        <v>1.1840174702289556</v>
      </c>
      <c r="BJ19" s="21">
        <v>1.1840174702289556</v>
      </c>
      <c r="BK19" s="21">
        <v>1.1840174702289556</v>
      </c>
      <c r="BL19" s="21">
        <v>1.1840174702289556</v>
      </c>
      <c r="BM19" s="21">
        <v>1.1840174702289556</v>
      </c>
      <c r="BN19" s="21">
        <v>1.1840174702289556</v>
      </c>
      <c r="BO19" s="21">
        <v>1.1840174702289556</v>
      </c>
      <c r="BP19" s="21">
        <v>1.1840174702289556</v>
      </c>
      <c r="BQ19" s="21">
        <v>1.1840174702289556</v>
      </c>
      <c r="BR19" s="21">
        <v>1.1840174702289556</v>
      </c>
      <c r="BS19" s="21">
        <v>1.1840174702289556</v>
      </c>
      <c r="BT19" s="21">
        <v>1.1840174702289556</v>
      </c>
      <c r="BU19" s="21">
        <v>1.1840174702289556</v>
      </c>
      <c r="BV19" s="21">
        <v>1.1840174702289556</v>
      </c>
      <c r="BW19" s="21">
        <v>1.1840174702289556</v>
      </c>
      <c r="BX19" s="21">
        <v>1.1840174702289556</v>
      </c>
      <c r="BY19" s="21">
        <v>1.1840174702289556</v>
      </c>
      <c r="BZ19" s="21">
        <v>1.1840174702289556</v>
      </c>
      <c r="CA19" s="21">
        <v>1.1840174702289556</v>
      </c>
      <c r="CB19" s="21">
        <v>1.1840174702289556</v>
      </c>
      <c r="CC19" s="21">
        <v>1.1840174702289556</v>
      </c>
      <c r="CD19" s="21">
        <v>1.1840174702289556</v>
      </c>
      <c r="CE19" s="21">
        <v>1.1840174702289556</v>
      </c>
      <c r="CF19" s="21">
        <v>1.1840174702289556</v>
      </c>
      <c r="CG19" s="21">
        <v>1.1840174702289556</v>
      </c>
      <c r="CH19" s="21">
        <v>1.1840174702289556</v>
      </c>
      <c r="CI19" s="21">
        <v>1.1840174702289556</v>
      </c>
      <c r="CJ19" s="21">
        <v>1.1840174702289556</v>
      </c>
      <c r="CK19" s="21">
        <v>1.1840174702289556</v>
      </c>
      <c r="CL19" s="21">
        <v>1.1840174702289556</v>
      </c>
      <c r="CM19" s="21">
        <v>1.1840174702289556</v>
      </c>
      <c r="CN19" s="21">
        <v>1.1840174702289556</v>
      </c>
      <c r="CO19" s="21">
        <v>1.1840174702289556</v>
      </c>
    </row>
    <row r="20" spans="1:93" x14ac:dyDescent="0.2">
      <c r="A20" s="4" t="s">
        <v>40</v>
      </c>
      <c r="B20" s="5" t="s">
        <v>26</v>
      </c>
      <c r="C20" s="19">
        <v>1.2420240898078958</v>
      </c>
      <c r="D20" s="19">
        <v>1.1874296243218343</v>
      </c>
      <c r="E20" s="19">
        <v>1.1328351588357732</v>
      </c>
      <c r="F20" s="19">
        <v>1.0782406933497117</v>
      </c>
      <c r="G20" s="19">
        <v>1.0236462278636504</v>
      </c>
      <c r="H20" s="19">
        <v>0.96905176237758894</v>
      </c>
      <c r="I20" s="19">
        <v>0.96905176237758894</v>
      </c>
      <c r="J20" s="19">
        <v>0.96905176237758894</v>
      </c>
      <c r="K20" s="19">
        <v>0.96905176237758894</v>
      </c>
      <c r="L20" s="19">
        <v>0.96905176237758894</v>
      </c>
      <c r="M20" s="19">
        <v>0.96905176237758894</v>
      </c>
      <c r="N20" s="19">
        <v>0.96905176237758894</v>
      </c>
      <c r="O20" s="19">
        <v>0.96905176237758894</v>
      </c>
      <c r="P20" s="19">
        <v>0.96905176237758894</v>
      </c>
      <c r="Q20" s="19">
        <v>0.96905176237758894</v>
      </c>
      <c r="R20" s="19">
        <v>0.96905176237758894</v>
      </c>
      <c r="S20" s="19">
        <v>0.96905176237758894</v>
      </c>
      <c r="T20" s="19">
        <v>0.96905176237758894</v>
      </c>
      <c r="U20" s="19">
        <v>0.96905176237758894</v>
      </c>
      <c r="V20" s="19">
        <v>0.96905176237758894</v>
      </c>
      <c r="W20" s="26">
        <v>0.96905176237758894</v>
      </c>
      <c r="X20" s="19">
        <v>0.96905176237758894</v>
      </c>
      <c r="Y20" s="19">
        <v>0.96905176237758894</v>
      </c>
      <c r="Z20" s="19">
        <v>0.96905176237758894</v>
      </c>
      <c r="AA20" s="19">
        <v>0.96905176237758894</v>
      </c>
      <c r="AB20" s="19">
        <v>0.96905176237758894</v>
      </c>
      <c r="AC20" s="19">
        <v>0.96905176237758894</v>
      </c>
      <c r="AD20" s="19">
        <v>0.96905176237758894</v>
      </c>
      <c r="AE20" s="19">
        <v>0.96905176237758894</v>
      </c>
      <c r="AF20" s="19">
        <v>0.96905176237758894</v>
      </c>
      <c r="AG20" s="19">
        <v>0.96905176237758894</v>
      </c>
      <c r="AH20" s="19">
        <v>0.96905176237758894</v>
      </c>
      <c r="AI20" s="19">
        <v>0.96905176237758894</v>
      </c>
      <c r="AJ20" s="19">
        <v>0.96905176237758894</v>
      </c>
      <c r="AK20" s="19">
        <v>0.96905176237758894</v>
      </c>
      <c r="AL20" s="19">
        <v>0.96905176237758894</v>
      </c>
      <c r="AM20" s="19">
        <v>0.96905176237758894</v>
      </c>
      <c r="AN20" s="19">
        <v>0.96905176237758894</v>
      </c>
      <c r="AO20" s="19">
        <v>0.96905176237758894</v>
      </c>
      <c r="AP20" s="19">
        <v>0.96905176237758894</v>
      </c>
      <c r="AQ20" s="19">
        <v>0.96905176237758894</v>
      </c>
      <c r="AR20" s="19">
        <v>0.96905176237758894</v>
      </c>
      <c r="AS20" s="19">
        <v>0.96905176237758894</v>
      </c>
      <c r="AT20" s="19">
        <v>0.96905176237758894</v>
      </c>
      <c r="AU20" s="19">
        <v>0.96905176237758894</v>
      </c>
      <c r="AV20" s="19">
        <v>0.96905176237758894</v>
      </c>
      <c r="AW20" s="19">
        <v>0.96905176237758894</v>
      </c>
      <c r="AX20" s="19">
        <v>0.96905176237758894</v>
      </c>
      <c r="AY20" s="19">
        <v>0.96905176237758894</v>
      </c>
      <c r="AZ20" s="19">
        <v>0.96905176237758894</v>
      </c>
      <c r="BA20" s="19">
        <v>0.96905176237758894</v>
      </c>
      <c r="BB20" s="21">
        <v>0.96905176237758894</v>
      </c>
      <c r="BC20" s="21">
        <v>0.96905176237758894</v>
      </c>
      <c r="BD20" s="21">
        <v>0.96905176237758894</v>
      </c>
      <c r="BE20" s="21">
        <v>0.96905176237758894</v>
      </c>
      <c r="BF20" s="21">
        <v>0.96905176237758894</v>
      </c>
      <c r="BG20" s="21">
        <v>0.96905176237758894</v>
      </c>
      <c r="BH20" s="21">
        <v>0.96905176237758894</v>
      </c>
      <c r="BI20" s="21">
        <v>0.96905176237758894</v>
      </c>
      <c r="BJ20" s="21">
        <v>0.96905176237758894</v>
      </c>
      <c r="BK20" s="21">
        <v>0.96905176237758894</v>
      </c>
      <c r="BL20" s="21">
        <v>0.96905176237758894</v>
      </c>
      <c r="BM20" s="21">
        <v>0.96905176237758894</v>
      </c>
      <c r="BN20" s="21">
        <v>0.96905176237758894</v>
      </c>
      <c r="BO20" s="21">
        <v>0.96905176237758894</v>
      </c>
      <c r="BP20" s="21">
        <v>0.96905176237758894</v>
      </c>
      <c r="BQ20" s="21">
        <v>0.96905176237758894</v>
      </c>
      <c r="BR20" s="21">
        <v>0.96905176237758894</v>
      </c>
      <c r="BS20" s="21">
        <v>0.96905176237758894</v>
      </c>
      <c r="BT20" s="21">
        <v>0.96905176237758894</v>
      </c>
      <c r="BU20" s="21">
        <v>0.96905176237758894</v>
      </c>
      <c r="BV20" s="21">
        <v>0.96905176237758894</v>
      </c>
      <c r="BW20" s="21">
        <v>0.96905176237758894</v>
      </c>
      <c r="BX20" s="21">
        <v>0.96905176237758894</v>
      </c>
      <c r="BY20" s="21">
        <v>0.96905176237758894</v>
      </c>
      <c r="BZ20" s="21">
        <v>0.96905176237758894</v>
      </c>
      <c r="CA20" s="21">
        <v>0.96905176237758894</v>
      </c>
      <c r="CB20" s="21">
        <v>0.96905176237758894</v>
      </c>
      <c r="CC20" s="21">
        <v>0.96905176237758894</v>
      </c>
      <c r="CD20" s="21">
        <v>0.96905176237758894</v>
      </c>
      <c r="CE20" s="21">
        <v>0.96905176237758894</v>
      </c>
      <c r="CF20" s="21">
        <v>0.96905176237758894</v>
      </c>
      <c r="CG20" s="21">
        <v>0.96905176237758894</v>
      </c>
      <c r="CH20" s="21">
        <v>0.96905176237758894</v>
      </c>
      <c r="CI20" s="21">
        <v>0.96905176237758894</v>
      </c>
      <c r="CJ20" s="21">
        <v>0.96905176237758894</v>
      </c>
      <c r="CK20" s="21">
        <v>0.96905176237758894</v>
      </c>
      <c r="CL20" s="21">
        <v>0.96905176237758894</v>
      </c>
      <c r="CM20" s="21">
        <v>0.96905176237758894</v>
      </c>
      <c r="CN20" s="21">
        <v>0.96905176237758894</v>
      </c>
      <c r="CO20" s="21">
        <v>0.96905176237758894</v>
      </c>
    </row>
    <row r="21" spans="1:93" s="6" customFormat="1" x14ac:dyDescent="0.2">
      <c r="A21" s="4" t="s">
        <v>41</v>
      </c>
      <c r="B21" s="5" t="s">
        <v>26</v>
      </c>
      <c r="C21" s="19">
        <v>2.7331354283959461</v>
      </c>
      <c r="D21" s="19">
        <v>2.6785409629098851</v>
      </c>
      <c r="E21" s="19">
        <v>2.623946497423824</v>
      </c>
      <c r="F21" s="19">
        <v>2.5693520319377625</v>
      </c>
      <c r="G21" s="19">
        <v>2.514757566451701</v>
      </c>
      <c r="H21" s="19">
        <v>2.4601631009656395</v>
      </c>
      <c r="I21" s="19">
        <v>2.4601631009656395</v>
      </c>
      <c r="J21" s="19">
        <v>2.4601631009656395</v>
      </c>
      <c r="K21" s="19">
        <v>2.4601631009656395</v>
      </c>
      <c r="L21" s="19">
        <v>2.4601631009656395</v>
      </c>
      <c r="M21" s="19">
        <v>2.4601631009656395</v>
      </c>
      <c r="N21" s="19">
        <v>2.4601631009656395</v>
      </c>
      <c r="O21" s="19">
        <v>2.4601631009656395</v>
      </c>
      <c r="P21" s="19">
        <v>2.4601631009656395</v>
      </c>
      <c r="Q21" s="19">
        <v>2.4601631009656395</v>
      </c>
      <c r="R21" s="19">
        <v>2.4601631009656395</v>
      </c>
      <c r="S21" s="19">
        <v>2.4601631009656395</v>
      </c>
      <c r="T21" s="19">
        <v>2.4601631009656395</v>
      </c>
      <c r="U21" s="19">
        <v>2.4601631009656395</v>
      </c>
      <c r="V21" s="19">
        <v>2.4601631009656395</v>
      </c>
      <c r="W21" s="26">
        <v>2.4601631009656395</v>
      </c>
      <c r="X21" s="19">
        <v>2.4601631009656395</v>
      </c>
      <c r="Y21" s="19">
        <v>2.4601631009656395</v>
      </c>
      <c r="Z21" s="19">
        <v>2.4601631009656395</v>
      </c>
      <c r="AA21" s="19">
        <v>2.4601631009656395</v>
      </c>
      <c r="AB21" s="19">
        <v>2.4601631009656395</v>
      </c>
      <c r="AC21" s="19">
        <v>2.4601631009656395</v>
      </c>
      <c r="AD21" s="19">
        <v>2.4601631009656395</v>
      </c>
      <c r="AE21" s="19">
        <v>2.4601631009656395</v>
      </c>
      <c r="AF21" s="19">
        <v>2.4601631009656395</v>
      </c>
      <c r="AG21" s="19">
        <v>2.4601631009656395</v>
      </c>
      <c r="AH21" s="19">
        <v>2.4601631009656395</v>
      </c>
      <c r="AI21" s="19">
        <v>2.4601631009656395</v>
      </c>
      <c r="AJ21" s="19">
        <v>2.4601631009656395</v>
      </c>
      <c r="AK21" s="19">
        <v>2.4601631009656395</v>
      </c>
      <c r="AL21" s="19">
        <v>2.4601631009656395</v>
      </c>
      <c r="AM21" s="19">
        <v>2.4601631009656395</v>
      </c>
      <c r="AN21" s="19">
        <v>2.4601631009656395</v>
      </c>
      <c r="AO21" s="19">
        <v>2.4601631009656395</v>
      </c>
      <c r="AP21" s="19">
        <v>2.4601631009656395</v>
      </c>
      <c r="AQ21" s="19">
        <v>2.4601631009656395</v>
      </c>
      <c r="AR21" s="19">
        <v>2.4601631009656395</v>
      </c>
      <c r="AS21" s="19">
        <v>2.4601631009656395</v>
      </c>
      <c r="AT21" s="19">
        <v>2.4601631009656395</v>
      </c>
      <c r="AU21" s="19">
        <v>2.4601631009656395</v>
      </c>
      <c r="AV21" s="19">
        <v>2.4601631009656395</v>
      </c>
      <c r="AW21" s="19">
        <v>2.4601631009656395</v>
      </c>
      <c r="AX21" s="19">
        <v>2.4601631009656395</v>
      </c>
      <c r="AY21" s="19">
        <v>2.4601631009656395</v>
      </c>
      <c r="AZ21" s="19">
        <v>2.4601631009656395</v>
      </c>
      <c r="BA21" s="19">
        <v>2.4601631009656395</v>
      </c>
      <c r="BB21" s="25">
        <v>2.4601631009656395</v>
      </c>
      <c r="BC21" s="25">
        <v>2.4601631009656395</v>
      </c>
      <c r="BD21" s="25">
        <v>2.4601631009656395</v>
      </c>
      <c r="BE21" s="25">
        <v>2.4601631009656395</v>
      </c>
      <c r="BF21" s="25">
        <v>2.4601631009656395</v>
      </c>
      <c r="BG21" s="25">
        <v>2.4601631009656395</v>
      </c>
      <c r="BH21" s="25">
        <v>2.4601631009656395</v>
      </c>
      <c r="BI21" s="25">
        <v>2.4601631009656395</v>
      </c>
      <c r="BJ21" s="25">
        <v>2.4601631009656395</v>
      </c>
      <c r="BK21" s="25">
        <v>2.4601631009656395</v>
      </c>
      <c r="BL21" s="25">
        <v>2.4601631009656395</v>
      </c>
      <c r="BM21" s="25">
        <v>2.4601631009656395</v>
      </c>
      <c r="BN21" s="25">
        <v>2.4601631009656395</v>
      </c>
      <c r="BO21" s="25">
        <v>2.4601631009656395</v>
      </c>
      <c r="BP21" s="25">
        <v>2.4601631009656395</v>
      </c>
      <c r="BQ21" s="25">
        <v>2.4601631009656395</v>
      </c>
      <c r="BR21" s="25">
        <v>2.4601631009656395</v>
      </c>
      <c r="BS21" s="25">
        <v>2.4601631009656395</v>
      </c>
      <c r="BT21" s="25">
        <v>2.4601631009656395</v>
      </c>
      <c r="BU21" s="25">
        <v>2.4601631009656395</v>
      </c>
      <c r="BV21" s="25">
        <v>2.4601631009656395</v>
      </c>
      <c r="BW21" s="25">
        <v>2.4601631009656395</v>
      </c>
      <c r="BX21" s="25">
        <v>2.4601631009656395</v>
      </c>
      <c r="BY21" s="25">
        <v>2.4601631009656395</v>
      </c>
      <c r="BZ21" s="25">
        <v>2.4601631009656395</v>
      </c>
      <c r="CA21" s="25">
        <v>2.4601631009656395</v>
      </c>
      <c r="CB21" s="25">
        <v>2.4601631009656395</v>
      </c>
      <c r="CC21" s="25">
        <v>2.4601631009656395</v>
      </c>
      <c r="CD21" s="25">
        <v>2.4601631009656395</v>
      </c>
      <c r="CE21" s="25">
        <v>2.4601631009656395</v>
      </c>
      <c r="CF21" s="25">
        <v>2.4601631009656395</v>
      </c>
      <c r="CG21" s="25">
        <v>2.4601631009656395</v>
      </c>
      <c r="CH21" s="25">
        <v>2.4601631009656395</v>
      </c>
      <c r="CI21" s="25">
        <v>2.4601631009656395</v>
      </c>
      <c r="CJ21" s="25">
        <v>2.4601631009656395</v>
      </c>
      <c r="CK21" s="25">
        <v>2.4601631009656395</v>
      </c>
      <c r="CL21" s="25">
        <v>2.4601631009656395</v>
      </c>
      <c r="CM21" s="25">
        <v>2.4601631009656395</v>
      </c>
      <c r="CN21" s="25">
        <v>2.4601631009656395</v>
      </c>
      <c r="CO21" s="25">
        <v>2.4601631009656395</v>
      </c>
    </row>
    <row r="22" spans="1:93" s="6" customFormat="1" x14ac:dyDescent="0.2">
      <c r="A22" s="4" t="s">
        <v>42</v>
      </c>
      <c r="B22" s="5" t="s">
        <v>26</v>
      </c>
      <c r="C22" s="19">
        <v>1.2181390111577441</v>
      </c>
      <c r="D22" s="19">
        <v>1.1635445456716826</v>
      </c>
      <c r="E22" s="19">
        <v>1.1089500801856211</v>
      </c>
      <c r="F22" s="19">
        <v>1.0543556146995599</v>
      </c>
      <c r="G22" s="19">
        <v>0.99976114921349857</v>
      </c>
      <c r="H22" s="19">
        <v>0.94516668372743717</v>
      </c>
      <c r="I22" s="19">
        <v>0.94516668372743717</v>
      </c>
      <c r="J22" s="19">
        <v>0.94516668372743717</v>
      </c>
      <c r="K22" s="19">
        <v>0.94516668372743717</v>
      </c>
      <c r="L22" s="19">
        <v>0.94516668372743717</v>
      </c>
      <c r="M22" s="19">
        <v>0.94516668372743717</v>
      </c>
      <c r="N22" s="19">
        <v>0.94516668372743717</v>
      </c>
      <c r="O22" s="19">
        <v>0.94516668372743717</v>
      </c>
      <c r="P22" s="19">
        <v>0.94516668372743717</v>
      </c>
      <c r="Q22" s="19">
        <v>0.94516668372743717</v>
      </c>
      <c r="R22" s="19">
        <v>0.94516668372743717</v>
      </c>
      <c r="S22" s="19">
        <v>0.94516668372743717</v>
      </c>
      <c r="T22" s="19">
        <v>0.94516668372743717</v>
      </c>
      <c r="U22" s="19">
        <v>0.94516668372743717</v>
      </c>
      <c r="V22" s="19">
        <v>0.94516668372743717</v>
      </c>
      <c r="W22" s="26">
        <v>0.94516668372743717</v>
      </c>
      <c r="X22" s="19">
        <v>0.94516668372743717</v>
      </c>
      <c r="Y22" s="19">
        <v>0.94516668372743717</v>
      </c>
      <c r="Z22" s="19">
        <v>0.94516668372743717</v>
      </c>
      <c r="AA22" s="19">
        <v>0.94516668372743717</v>
      </c>
      <c r="AB22" s="19">
        <v>0.94516668372743717</v>
      </c>
      <c r="AC22" s="19">
        <v>0.94516668372743717</v>
      </c>
      <c r="AD22" s="19">
        <v>0.94516668372743717</v>
      </c>
      <c r="AE22" s="19">
        <v>0.94516668372743717</v>
      </c>
      <c r="AF22" s="19">
        <v>0.94516668372743717</v>
      </c>
      <c r="AG22" s="19">
        <v>0.94516668372743717</v>
      </c>
      <c r="AH22" s="19">
        <v>0.94516668372743717</v>
      </c>
      <c r="AI22" s="19">
        <v>0.94516668372743717</v>
      </c>
      <c r="AJ22" s="19">
        <v>0.94516668372743717</v>
      </c>
      <c r="AK22" s="19">
        <v>0.94516668372743717</v>
      </c>
      <c r="AL22" s="19">
        <v>0.94516668372743717</v>
      </c>
      <c r="AM22" s="19">
        <v>0.94516668372743717</v>
      </c>
      <c r="AN22" s="19">
        <v>0.94516668372743717</v>
      </c>
      <c r="AO22" s="19">
        <v>0.94516668372743717</v>
      </c>
      <c r="AP22" s="19">
        <v>0.94516668372743717</v>
      </c>
      <c r="AQ22" s="19">
        <v>0.94516668372743717</v>
      </c>
      <c r="AR22" s="19">
        <v>0.94516668372743717</v>
      </c>
      <c r="AS22" s="19">
        <v>0.94516668372743717</v>
      </c>
      <c r="AT22" s="19">
        <v>0.94516668372743717</v>
      </c>
      <c r="AU22" s="19">
        <v>0.94516668372743717</v>
      </c>
      <c r="AV22" s="19">
        <v>0.94516668372743717</v>
      </c>
      <c r="AW22" s="19">
        <v>0.94516668372743717</v>
      </c>
      <c r="AX22" s="19">
        <v>0.94516668372743717</v>
      </c>
      <c r="AY22" s="19">
        <v>0.94516668372743717</v>
      </c>
      <c r="AZ22" s="19">
        <v>0.94516668372743717</v>
      </c>
      <c r="BA22" s="19">
        <v>0.94516668372743717</v>
      </c>
      <c r="BB22" s="25">
        <v>0.94516668372743717</v>
      </c>
      <c r="BC22" s="25">
        <v>0.94516668372743717</v>
      </c>
      <c r="BD22" s="25">
        <v>0.94516668372743717</v>
      </c>
      <c r="BE22" s="25">
        <v>0.94516668372743717</v>
      </c>
      <c r="BF22" s="25">
        <v>0.94516668372743717</v>
      </c>
      <c r="BG22" s="25">
        <v>0.94516668372743717</v>
      </c>
      <c r="BH22" s="25">
        <v>0.94516668372743717</v>
      </c>
      <c r="BI22" s="25">
        <v>0.94516668372743717</v>
      </c>
      <c r="BJ22" s="25">
        <v>0.94516668372743717</v>
      </c>
      <c r="BK22" s="25">
        <v>0.94516668372743717</v>
      </c>
      <c r="BL22" s="25">
        <v>0.94516668372743717</v>
      </c>
      <c r="BM22" s="25">
        <v>0.94516668372743717</v>
      </c>
      <c r="BN22" s="25">
        <v>0.94516668372743717</v>
      </c>
      <c r="BO22" s="25">
        <v>0.94516668372743717</v>
      </c>
      <c r="BP22" s="25">
        <v>0.94516668372743717</v>
      </c>
      <c r="BQ22" s="25">
        <v>0.94516668372743717</v>
      </c>
      <c r="BR22" s="25">
        <v>0.94516668372743717</v>
      </c>
      <c r="BS22" s="25">
        <v>0.94516668372743717</v>
      </c>
      <c r="BT22" s="25">
        <v>0.94516668372743717</v>
      </c>
      <c r="BU22" s="25">
        <v>0.94516668372743717</v>
      </c>
      <c r="BV22" s="25">
        <v>0.94516668372743717</v>
      </c>
      <c r="BW22" s="25">
        <v>0.94516668372743717</v>
      </c>
      <c r="BX22" s="25">
        <v>0.94516668372743717</v>
      </c>
      <c r="BY22" s="25">
        <v>0.94516668372743717</v>
      </c>
      <c r="BZ22" s="25">
        <v>0.94516668372743717</v>
      </c>
      <c r="CA22" s="25">
        <v>0.94516668372743717</v>
      </c>
      <c r="CB22" s="25">
        <v>0.94516668372743717</v>
      </c>
      <c r="CC22" s="25">
        <v>0.94516668372743717</v>
      </c>
      <c r="CD22" s="25">
        <v>0.94516668372743717</v>
      </c>
      <c r="CE22" s="25">
        <v>0.94516668372743717</v>
      </c>
      <c r="CF22" s="25">
        <v>0.94516668372743717</v>
      </c>
      <c r="CG22" s="25">
        <v>0.94516668372743717</v>
      </c>
      <c r="CH22" s="25">
        <v>0.94516668372743717</v>
      </c>
      <c r="CI22" s="25">
        <v>0.94516668372743717</v>
      </c>
      <c r="CJ22" s="25">
        <v>0.94516668372743717</v>
      </c>
      <c r="CK22" s="25">
        <v>0.94516668372743717</v>
      </c>
      <c r="CL22" s="25">
        <v>0.94516668372743717</v>
      </c>
      <c r="CM22" s="25">
        <v>0.94516668372743717</v>
      </c>
      <c r="CN22" s="25">
        <v>0.94516668372743717</v>
      </c>
      <c r="CO22" s="25">
        <v>0.94516668372743717</v>
      </c>
    </row>
    <row r="23" spans="1:93" s="6" customFormat="1" x14ac:dyDescent="0.2">
      <c r="A23" s="4" t="s">
        <v>43</v>
      </c>
      <c r="B23" s="5" t="s">
        <v>26</v>
      </c>
      <c r="C23" s="19">
        <v>1.1191865424642577</v>
      </c>
      <c r="D23" s="19">
        <v>1.0645920769781965</v>
      </c>
      <c r="E23" s="19">
        <v>1.0099976114921352</v>
      </c>
      <c r="F23" s="19">
        <v>0.95540314600607368</v>
      </c>
      <c r="G23" s="19">
        <v>0.90080868052001228</v>
      </c>
      <c r="H23" s="19">
        <v>0.846214215033951</v>
      </c>
      <c r="I23" s="19">
        <v>0.846214215033951</v>
      </c>
      <c r="J23" s="19">
        <v>0.846214215033951</v>
      </c>
      <c r="K23" s="19">
        <v>0.846214215033951</v>
      </c>
      <c r="L23" s="19">
        <v>0.846214215033951</v>
      </c>
      <c r="M23" s="19">
        <v>0.846214215033951</v>
      </c>
      <c r="N23" s="19">
        <v>0.846214215033951</v>
      </c>
      <c r="O23" s="19">
        <v>0.846214215033951</v>
      </c>
      <c r="P23" s="19">
        <v>0.846214215033951</v>
      </c>
      <c r="Q23" s="19">
        <v>0.846214215033951</v>
      </c>
      <c r="R23" s="19">
        <v>0.846214215033951</v>
      </c>
      <c r="S23" s="19">
        <v>0.846214215033951</v>
      </c>
      <c r="T23" s="19">
        <v>0.846214215033951</v>
      </c>
      <c r="U23" s="19">
        <v>0.846214215033951</v>
      </c>
      <c r="V23" s="19">
        <v>0.846214215033951</v>
      </c>
      <c r="W23" s="26">
        <v>0.846214215033951</v>
      </c>
      <c r="X23" s="19">
        <v>0.846214215033951</v>
      </c>
      <c r="Y23" s="19">
        <v>0.846214215033951</v>
      </c>
      <c r="Z23" s="19">
        <v>0.846214215033951</v>
      </c>
      <c r="AA23" s="19">
        <v>0.846214215033951</v>
      </c>
      <c r="AB23" s="19">
        <v>0.846214215033951</v>
      </c>
      <c r="AC23" s="19">
        <v>0.846214215033951</v>
      </c>
      <c r="AD23" s="19">
        <v>0.846214215033951</v>
      </c>
      <c r="AE23" s="19">
        <v>0.846214215033951</v>
      </c>
      <c r="AF23" s="19">
        <v>0.846214215033951</v>
      </c>
      <c r="AG23" s="19">
        <v>0.846214215033951</v>
      </c>
      <c r="AH23" s="19">
        <v>0.846214215033951</v>
      </c>
      <c r="AI23" s="19">
        <v>0.846214215033951</v>
      </c>
      <c r="AJ23" s="19">
        <v>0.846214215033951</v>
      </c>
      <c r="AK23" s="19">
        <v>0.846214215033951</v>
      </c>
      <c r="AL23" s="19">
        <v>0.846214215033951</v>
      </c>
      <c r="AM23" s="19">
        <v>0.846214215033951</v>
      </c>
      <c r="AN23" s="19">
        <v>0.846214215033951</v>
      </c>
      <c r="AO23" s="19">
        <v>0.846214215033951</v>
      </c>
      <c r="AP23" s="19">
        <v>0.846214215033951</v>
      </c>
      <c r="AQ23" s="19">
        <v>0.846214215033951</v>
      </c>
      <c r="AR23" s="19">
        <v>0.846214215033951</v>
      </c>
      <c r="AS23" s="19">
        <v>0.846214215033951</v>
      </c>
      <c r="AT23" s="19">
        <v>0.846214215033951</v>
      </c>
      <c r="AU23" s="19">
        <v>0.846214215033951</v>
      </c>
      <c r="AV23" s="19">
        <v>0.846214215033951</v>
      </c>
      <c r="AW23" s="19">
        <v>0.846214215033951</v>
      </c>
      <c r="AX23" s="19">
        <v>0.846214215033951</v>
      </c>
      <c r="AY23" s="19">
        <v>0.846214215033951</v>
      </c>
      <c r="AZ23" s="19">
        <v>0.846214215033951</v>
      </c>
      <c r="BA23" s="19">
        <v>0.846214215033951</v>
      </c>
      <c r="BB23" s="25">
        <v>0.846214215033951</v>
      </c>
      <c r="BC23" s="25">
        <v>0.846214215033951</v>
      </c>
      <c r="BD23" s="25">
        <v>0.846214215033951</v>
      </c>
      <c r="BE23" s="25">
        <v>0.846214215033951</v>
      </c>
      <c r="BF23" s="25">
        <v>0.846214215033951</v>
      </c>
      <c r="BG23" s="25">
        <v>0.846214215033951</v>
      </c>
      <c r="BH23" s="25">
        <v>0.846214215033951</v>
      </c>
      <c r="BI23" s="25">
        <v>0.846214215033951</v>
      </c>
      <c r="BJ23" s="25">
        <v>0.846214215033951</v>
      </c>
      <c r="BK23" s="25">
        <v>0.846214215033951</v>
      </c>
      <c r="BL23" s="25">
        <v>0.846214215033951</v>
      </c>
      <c r="BM23" s="25">
        <v>0.846214215033951</v>
      </c>
      <c r="BN23" s="25">
        <v>0.846214215033951</v>
      </c>
      <c r="BO23" s="25">
        <v>0.846214215033951</v>
      </c>
      <c r="BP23" s="25">
        <v>0.846214215033951</v>
      </c>
      <c r="BQ23" s="25">
        <v>0.846214215033951</v>
      </c>
      <c r="BR23" s="25">
        <v>0.846214215033951</v>
      </c>
      <c r="BS23" s="25">
        <v>0.846214215033951</v>
      </c>
      <c r="BT23" s="25">
        <v>0.846214215033951</v>
      </c>
      <c r="BU23" s="25">
        <v>0.846214215033951</v>
      </c>
      <c r="BV23" s="25">
        <v>0.846214215033951</v>
      </c>
      <c r="BW23" s="25">
        <v>0.846214215033951</v>
      </c>
      <c r="BX23" s="25">
        <v>0.846214215033951</v>
      </c>
      <c r="BY23" s="25">
        <v>0.846214215033951</v>
      </c>
      <c r="BZ23" s="25">
        <v>0.846214215033951</v>
      </c>
      <c r="CA23" s="25">
        <v>0.846214215033951</v>
      </c>
      <c r="CB23" s="25">
        <v>0.846214215033951</v>
      </c>
      <c r="CC23" s="25">
        <v>0.846214215033951</v>
      </c>
      <c r="CD23" s="25">
        <v>0.846214215033951</v>
      </c>
      <c r="CE23" s="25">
        <v>0.846214215033951</v>
      </c>
      <c r="CF23" s="25">
        <v>0.846214215033951</v>
      </c>
      <c r="CG23" s="25">
        <v>0.846214215033951</v>
      </c>
      <c r="CH23" s="25">
        <v>0.846214215033951</v>
      </c>
      <c r="CI23" s="25">
        <v>0.846214215033951</v>
      </c>
      <c r="CJ23" s="25">
        <v>0.846214215033951</v>
      </c>
      <c r="CK23" s="25">
        <v>0.846214215033951</v>
      </c>
      <c r="CL23" s="25">
        <v>0.846214215033951</v>
      </c>
      <c r="CM23" s="25">
        <v>0.846214215033951</v>
      </c>
      <c r="CN23" s="25">
        <v>0.846214215033951</v>
      </c>
      <c r="CO23" s="25">
        <v>0.846214215033951</v>
      </c>
    </row>
    <row r="24" spans="1:93" x14ac:dyDescent="0.2">
      <c r="A24" s="7"/>
      <c r="C24" s="19"/>
      <c r="D24" s="19"/>
      <c r="E24" s="19"/>
      <c r="F24" s="19"/>
      <c r="G24" s="19"/>
      <c r="H24" s="19"/>
      <c r="I24" s="19"/>
      <c r="J24" s="19"/>
      <c r="K24" s="19"/>
      <c r="L24" s="19"/>
      <c r="M24" s="19"/>
      <c r="N24" s="19"/>
      <c r="O24" s="19"/>
      <c r="P24" s="19"/>
      <c r="Q24" s="19"/>
      <c r="R24" s="19"/>
      <c r="S24" s="19"/>
      <c r="T24" s="19"/>
      <c r="U24" s="19"/>
      <c r="V24" s="19"/>
      <c r="W24" s="26"/>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row>
    <row r="25" spans="1:93" x14ac:dyDescent="0.2">
      <c r="A25" s="4" t="s">
        <v>63</v>
      </c>
      <c r="B25" s="5" t="s">
        <v>44</v>
      </c>
      <c r="C25" s="19">
        <v>38.083828424901128</v>
      </c>
      <c r="D25" s="19">
        <v>38.476539548311919</v>
      </c>
      <c r="E25" s="19">
        <v>38.869250671722696</v>
      </c>
      <c r="F25" s="19">
        <v>39.261961795133487</v>
      </c>
      <c r="G25" s="19">
        <v>39.654672918544279</v>
      </c>
      <c r="H25" s="19">
        <v>40.04738404195507</v>
      </c>
      <c r="I25" s="19">
        <v>40.440095165365861</v>
      </c>
      <c r="J25" s="19">
        <v>40.832806288776645</v>
      </c>
      <c r="K25" s="19">
        <v>41.225517412187429</v>
      </c>
      <c r="L25" s="19">
        <v>41.61822853559822</v>
      </c>
      <c r="M25" s="19">
        <v>42.010939659009011</v>
      </c>
      <c r="N25" s="19">
        <v>42.403650782419803</v>
      </c>
      <c r="O25" s="19">
        <v>42.796361905830594</v>
      </c>
      <c r="P25" s="19">
        <v>43.189073029241371</v>
      </c>
      <c r="Q25" s="19">
        <v>43.581784152652169</v>
      </c>
      <c r="R25" s="19">
        <v>43.974495276062953</v>
      </c>
      <c r="S25" s="19">
        <v>44.367206399473744</v>
      </c>
      <c r="T25" s="19">
        <v>44.759917522884535</v>
      </c>
      <c r="U25" s="19">
        <v>45.152628646295312</v>
      </c>
      <c r="V25" s="19">
        <v>45.545339769706104</v>
      </c>
      <c r="W25" s="26">
        <v>45.938050893116895</v>
      </c>
      <c r="X25" s="19">
        <v>45.938050893116895</v>
      </c>
      <c r="Y25" s="19">
        <v>45.938050893116895</v>
      </c>
      <c r="Z25" s="19">
        <v>45.938050893116895</v>
      </c>
      <c r="AA25" s="19">
        <v>45.938050893116895</v>
      </c>
      <c r="AB25" s="19">
        <v>45.938050893116895</v>
      </c>
      <c r="AC25" s="19">
        <v>45.938050893116895</v>
      </c>
      <c r="AD25" s="19">
        <v>45.938050893116895</v>
      </c>
      <c r="AE25" s="19">
        <v>45.938050893116895</v>
      </c>
      <c r="AF25" s="19">
        <v>45.938050893116895</v>
      </c>
      <c r="AG25" s="19">
        <v>45.938050893116895</v>
      </c>
      <c r="AH25" s="19">
        <v>45.938050893116895</v>
      </c>
      <c r="AI25" s="19">
        <v>45.938050893116895</v>
      </c>
      <c r="AJ25" s="19">
        <v>45.938050893116895</v>
      </c>
      <c r="AK25" s="19">
        <v>45.938050893116895</v>
      </c>
      <c r="AL25" s="19">
        <v>45.938050893116895</v>
      </c>
      <c r="AM25" s="19">
        <v>45.938050893116895</v>
      </c>
      <c r="AN25" s="19">
        <v>45.938050893116895</v>
      </c>
      <c r="AO25" s="19">
        <v>45.938050893116895</v>
      </c>
      <c r="AP25" s="19">
        <v>45.938050893116895</v>
      </c>
      <c r="AQ25" s="19">
        <v>45.938050893116895</v>
      </c>
      <c r="AR25" s="19">
        <v>45.938050893116895</v>
      </c>
      <c r="AS25" s="19">
        <v>45.938050893116895</v>
      </c>
      <c r="AT25" s="19">
        <v>45.938050893116895</v>
      </c>
      <c r="AU25" s="19">
        <v>45.938050893116895</v>
      </c>
      <c r="AV25" s="19">
        <v>45.938050893116895</v>
      </c>
      <c r="AW25" s="19">
        <v>45.938050893116895</v>
      </c>
      <c r="AX25" s="19">
        <v>45.938050893116895</v>
      </c>
      <c r="AY25" s="19">
        <v>45.938050893116895</v>
      </c>
      <c r="AZ25" s="19">
        <v>45.938050893116895</v>
      </c>
      <c r="BA25" s="19">
        <v>45.938050893116895</v>
      </c>
      <c r="BB25" s="21">
        <v>45.938050893116895</v>
      </c>
      <c r="BC25" s="21">
        <v>45.938050893116895</v>
      </c>
      <c r="BD25" s="21">
        <v>45.938050893116895</v>
      </c>
      <c r="BE25" s="21">
        <v>45.938050893116895</v>
      </c>
      <c r="BF25" s="21">
        <v>45.938050893116895</v>
      </c>
      <c r="BG25" s="21">
        <v>45.938050893116895</v>
      </c>
      <c r="BH25" s="21">
        <v>45.938050893116895</v>
      </c>
      <c r="BI25" s="21">
        <v>45.938050893116895</v>
      </c>
      <c r="BJ25" s="21">
        <v>45.938050893116895</v>
      </c>
      <c r="BK25" s="21">
        <v>45.938050893116895</v>
      </c>
      <c r="BL25" s="21">
        <v>45.938050893116895</v>
      </c>
      <c r="BM25" s="21">
        <v>45.938050893116895</v>
      </c>
      <c r="BN25" s="21">
        <v>45.938050893116895</v>
      </c>
      <c r="BO25" s="21">
        <v>45.938050893116895</v>
      </c>
      <c r="BP25" s="21">
        <v>45.938050893116895</v>
      </c>
      <c r="BQ25" s="21">
        <v>45.938050893116895</v>
      </c>
      <c r="BR25" s="21">
        <v>45.938050893116895</v>
      </c>
      <c r="BS25" s="21">
        <v>45.938050893116895</v>
      </c>
      <c r="BT25" s="21">
        <v>45.938050893116895</v>
      </c>
      <c r="BU25" s="21">
        <v>45.938050893116895</v>
      </c>
      <c r="BV25" s="21">
        <v>45.938050893116895</v>
      </c>
      <c r="BW25" s="21">
        <v>45.938050893116895</v>
      </c>
      <c r="BX25" s="21">
        <v>45.938050893116895</v>
      </c>
      <c r="BY25" s="21">
        <v>45.938050893116895</v>
      </c>
      <c r="BZ25" s="21">
        <v>45.938050893116895</v>
      </c>
      <c r="CA25" s="21">
        <v>45.938050893116895</v>
      </c>
      <c r="CB25" s="21">
        <v>45.938050893116895</v>
      </c>
      <c r="CC25" s="21">
        <v>45.938050893116895</v>
      </c>
      <c r="CD25" s="21">
        <v>45.938050893116895</v>
      </c>
      <c r="CE25" s="21">
        <v>45.938050893116895</v>
      </c>
      <c r="CF25" s="21">
        <v>45.938050893116895</v>
      </c>
      <c r="CG25" s="21">
        <v>45.938050893116895</v>
      </c>
      <c r="CH25" s="21">
        <v>45.938050893116895</v>
      </c>
      <c r="CI25" s="21">
        <v>45.938050893116895</v>
      </c>
      <c r="CJ25" s="21">
        <v>45.938050893116895</v>
      </c>
      <c r="CK25" s="21">
        <v>45.938050893116895</v>
      </c>
      <c r="CL25" s="21">
        <v>45.938050893116895</v>
      </c>
      <c r="CM25" s="21">
        <v>45.938050893116895</v>
      </c>
      <c r="CN25" s="21">
        <v>45.938050893116895</v>
      </c>
      <c r="CO25" s="21">
        <v>45.938050893116895</v>
      </c>
    </row>
    <row r="26" spans="1:93" x14ac:dyDescent="0.2">
      <c r="A26" s="4" t="s">
        <v>64</v>
      </c>
      <c r="B26" s="5" t="s">
        <v>44</v>
      </c>
      <c r="C26" s="19">
        <v>42.665493302531004</v>
      </c>
      <c r="D26" s="19">
        <v>43.066564094251149</v>
      </c>
      <c r="E26" s="19">
        <v>43.467634885971279</v>
      </c>
      <c r="F26" s="19">
        <v>43.868705677691409</v>
      </c>
      <c r="G26" s="19">
        <v>44.269776469411553</v>
      </c>
      <c r="H26" s="19">
        <v>44.670847261131684</v>
      </c>
      <c r="I26" s="19">
        <v>45.071918052851814</v>
      </c>
      <c r="J26" s="19">
        <v>45.472988844571958</v>
      </c>
      <c r="K26" s="19">
        <v>45.874059636292088</v>
      </c>
      <c r="L26" s="19">
        <v>46.275130428012233</v>
      </c>
      <c r="M26" s="19">
        <v>46.676201219732363</v>
      </c>
      <c r="N26" s="19">
        <v>47.077272011452507</v>
      </c>
      <c r="O26" s="19">
        <v>47.478342803172637</v>
      </c>
      <c r="P26" s="19">
        <v>47.879413594892782</v>
      </c>
      <c r="Q26" s="19">
        <v>48.280484386612912</v>
      </c>
      <c r="R26" s="19">
        <v>48.681555178333056</v>
      </c>
      <c r="S26" s="19">
        <v>49.082625970053186</v>
      </c>
      <c r="T26" s="19">
        <v>49.483696761773317</v>
      </c>
      <c r="U26" s="19">
        <v>49.884767553493447</v>
      </c>
      <c r="V26" s="19">
        <v>50.285838345213591</v>
      </c>
      <c r="W26" s="26">
        <v>50.686909136933721</v>
      </c>
      <c r="X26" s="19">
        <v>50.686909136933721</v>
      </c>
      <c r="Y26" s="19">
        <v>50.686909136933721</v>
      </c>
      <c r="Z26" s="19">
        <v>50.686909136933721</v>
      </c>
      <c r="AA26" s="19">
        <v>50.686909136933721</v>
      </c>
      <c r="AB26" s="19">
        <v>50.686909136933721</v>
      </c>
      <c r="AC26" s="19">
        <v>50.686909136933721</v>
      </c>
      <c r="AD26" s="19">
        <v>50.686909136933721</v>
      </c>
      <c r="AE26" s="19">
        <v>50.686909136933721</v>
      </c>
      <c r="AF26" s="19">
        <v>50.686909136933721</v>
      </c>
      <c r="AG26" s="19">
        <v>50.686909136933721</v>
      </c>
      <c r="AH26" s="19">
        <v>50.686909136933721</v>
      </c>
      <c r="AI26" s="19">
        <v>50.686909136933721</v>
      </c>
      <c r="AJ26" s="19">
        <v>50.686909136933721</v>
      </c>
      <c r="AK26" s="19">
        <v>50.686909136933721</v>
      </c>
      <c r="AL26" s="19">
        <v>50.686909136933721</v>
      </c>
      <c r="AM26" s="19">
        <v>50.686909136933721</v>
      </c>
      <c r="AN26" s="19">
        <v>50.686909136933721</v>
      </c>
      <c r="AO26" s="19">
        <v>50.686909136933721</v>
      </c>
      <c r="AP26" s="19">
        <v>50.686909136933721</v>
      </c>
      <c r="AQ26" s="19">
        <v>50.686909136933721</v>
      </c>
      <c r="AR26" s="19">
        <v>50.686909136933721</v>
      </c>
      <c r="AS26" s="19">
        <v>50.686909136933721</v>
      </c>
      <c r="AT26" s="19">
        <v>50.686909136933721</v>
      </c>
      <c r="AU26" s="19">
        <v>50.686909136933721</v>
      </c>
      <c r="AV26" s="19">
        <v>50.686909136933721</v>
      </c>
      <c r="AW26" s="19">
        <v>50.686909136933721</v>
      </c>
      <c r="AX26" s="19">
        <v>50.686909136933721</v>
      </c>
      <c r="AY26" s="19">
        <v>50.686909136933721</v>
      </c>
      <c r="AZ26" s="19">
        <v>50.686909136933721</v>
      </c>
      <c r="BA26" s="19">
        <v>50.686909136933721</v>
      </c>
      <c r="BB26" s="21">
        <v>50.686909136933721</v>
      </c>
      <c r="BC26" s="21">
        <v>50.686909136933721</v>
      </c>
      <c r="BD26" s="21">
        <v>50.686909136933721</v>
      </c>
      <c r="BE26" s="21">
        <v>50.686909136933721</v>
      </c>
      <c r="BF26" s="21">
        <v>50.686909136933721</v>
      </c>
      <c r="BG26" s="21">
        <v>50.686909136933721</v>
      </c>
      <c r="BH26" s="21">
        <v>50.686909136933721</v>
      </c>
      <c r="BI26" s="21">
        <v>50.686909136933721</v>
      </c>
      <c r="BJ26" s="21">
        <v>50.686909136933721</v>
      </c>
      <c r="BK26" s="21">
        <v>50.686909136933721</v>
      </c>
      <c r="BL26" s="21">
        <v>50.686909136933721</v>
      </c>
      <c r="BM26" s="21">
        <v>50.686909136933721</v>
      </c>
      <c r="BN26" s="21">
        <v>50.686909136933721</v>
      </c>
      <c r="BO26" s="21">
        <v>50.686909136933721</v>
      </c>
      <c r="BP26" s="21">
        <v>50.686909136933721</v>
      </c>
      <c r="BQ26" s="21">
        <v>50.686909136933721</v>
      </c>
      <c r="BR26" s="21">
        <v>50.686909136933721</v>
      </c>
      <c r="BS26" s="21">
        <v>50.686909136933721</v>
      </c>
      <c r="BT26" s="21">
        <v>50.686909136933721</v>
      </c>
      <c r="BU26" s="21">
        <v>50.686909136933721</v>
      </c>
      <c r="BV26" s="21">
        <v>50.686909136933721</v>
      </c>
      <c r="BW26" s="21">
        <v>50.686909136933721</v>
      </c>
      <c r="BX26" s="21">
        <v>50.686909136933721</v>
      </c>
      <c r="BY26" s="21">
        <v>50.686909136933721</v>
      </c>
      <c r="BZ26" s="21">
        <v>50.686909136933721</v>
      </c>
      <c r="CA26" s="21">
        <v>50.686909136933721</v>
      </c>
      <c r="CB26" s="21">
        <v>50.686909136933721</v>
      </c>
      <c r="CC26" s="21">
        <v>50.686909136933721</v>
      </c>
      <c r="CD26" s="21">
        <v>50.686909136933721</v>
      </c>
      <c r="CE26" s="21">
        <v>50.686909136933721</v>
      </c>
      <c r="CF26" s="21">
        <v>50.686909136933721</v>
      </c>
      <c r="CG26" s="21">
        <v>50.686909136933721</v>
      </c>
      <c r="CH26" s="21">
        <v>50.686909136933721</v>
      </c>
      <c r="CI26" s="21">
        <v>50.686909136933721</v>
      </c>
      <c r="CJ26" s="21">
        <v>50.686909136933721</v>
      </c>
      <c r="CK26" s="21">
        <v>50.686909136933721</v>
      </c>
      <c r="CL26" s="21">
        <v>50.686909136933721</v>
      </c>
      <c r="CM26" s="21">
        <v>50.686909136933721</v>
      </c>
      <c r="CN26" s="21">
        <v>50.686909136933721</v>
      </c>
      <c r="CO26" s="21">
        <v>50.686909136933721</v>
      </c>
    </row>
    <row r="27" spans="1:93" x14ac:dyDescent="0.2">
      <c r="A27" s="4" t="s">
        <v>65</v>
      </c>
      <c r="B27" s="5" t="s">
        <v>44</v>
      </c>
      <c r="C27" s="19">
        <v>39.94759172026663</v>
      </c>
      <c r="D27" s="19">
        <v>40.348662511986767</v>
      </c>
      <c r="E27" s="19">
        <v>40.749733303706904</v>
      </c>
      <c r="F27" s="19">
        <v>41.150804095427034</v>
      </c>
      <c r="G27" s="19">
        <v>41.551874887147171</v>
      </c>
      <c r="H27" s="19">
        <v>41.952945678867309</v>
      </c>
      <c r="I27" s="19">
        <v>42.354016470587439</v>
      </c>
      <c r="J27" s="19">
        <v>42.755087262307583</v>
      </c>
      <c r="K27" s="19">
        <v>43.156158054027713</v>
      </c>
      <c r="L27" s="19">
        <v>43.557228845747858</v>
      </c>
      <c r="M27" s="19">
        <v>43.958299637467988</v>
      </c>
      <c r="N27" s="19">
        <v>44.359370429188118</v>
      </c>
      <c r="O27" s="19">
        <v>44.760441220908262</v>
      </c>
      <c r="P27" s="19">
        <v>45.161512012628393</v>
      </c>
      <c r="Q27" s="19">
        <v>45.562582804348537</v>
      </c>
      <c r="R27" s="19">
        <v>45.963653596068667</v>
      </c>
      <c r="S27" s="19">
        <v>46.364724387788812</v>
      </c>
      <c r="T27" s="19">
        <v>46.765795179508928</v>
      </c>
      <c r="U27" s="19">
        <v>47.166865971229072</v>
      </c>
      <c r="V27" s="19">
        <v>47.567936762949202</v>
      </c>
      <c r="W27" s="26">
        <v>47.969007554669346</v>
      </c>
      <c r="X27" s="19">
        <v>47.969007554669346</v>
      </c>
      <c r="Y27" s="19">
        <v>47.969007554669346</v>
      </c>
      <c r="Z27" s="19">
        <v>47.969007554669346</v>
      </c>
      <c r="AA27" s="19">
        <v>47.969007554669346</v>
      </c>
      <c r="AB27" s="19">
        <v>47.969007554669346</v>
      </c>
      <c r="AC27" s="19">
        <v>47.969007554669346</v>
      </c>
      <c r="AD27" s="19">
        <v>47.969007554669346</v>
      </c>
      <c r="AE27" s="19">
        <v>47.969007554669346</v>
      </c>
      <c r="AF27" s="19">
        <v>47.969007554669346</v>
      </c>
      <c r="AG27" s="19">
        <v>47.969007554669346</v>
      </c>
      <c r="AH27" s="19">
        <v>47.969007554669346</v>
      </c>
      <c r="AI27" s="19">
        <v>47.969007554669346</v>
      </c>
      <c r="AJ27" s="19">
        <v>47.969007554669346</v>
      </c>
      <c r="AK27" s="19">
        <v>47.969007554669346</v>
      </c>
      <c r="AL27" s="19">
        <v>47.969007554669346</v>
      </c>
      <c r="AM27" s="19">
        <v>47.969007554669346</v>
      </c>
      <c r="AN27" s="19">
        <v>47.969007554669346</v>
      </c>
      <c r="AO27" s="19">
        <v>47.969007554669346</v>
      </c>
      <c r="AP27" s="19">
        <v>47.969007554669346</v>
      </c>
      <c r="AQ27" s="19">
        <v>47.969007554669346</v>
      </c>
      <c r="AR27" s="19">
        <v>47.969007554669346</v>
      </c>
      <c r="AS27" s="19">
        <v>47.969007554669346</v>
      </c>
      <c r="AT27" s="19">
        <v>47.969007554669346</v>
      </c>
      <c r="AU27" s="19">
        <v>47.969007554669346</v>
      </c>
      <c r="AV27" s="19">
        <v>47.969007554669346</v>
      </c>
      <c r="AW27" s="19">
        <v>47.969007554669346</v>
      </c>
      <c r="AX27" s="19">
        <v>47.969007554669346</v>
      </c>
      <c r="AY27" s="19">
        <v>47.969007554669346</v>
      </c>
      <c r="AZ27" s="19">
        <v>47.969007554669346</v>
      </c>
      <c r="BA27" s="19">
        <v>47.969007554669346</v>
      </c>
      <c r="BB27" s="21">
        <v>47.969007554669346</v>
      </c>
      <c r="BC27" s="21">
        <v>47.969007554669346</v>
      </c>
      <c r="BD27" s="21">
        <v>47.969007554669346</v>
      </c>
      <c r="BE27" s="21">
        <v>47.969007554669346</v>
      </c>
      <c r="BF27" s="21">
        <v>47.969007554669346</v>
      </c>
      <c r="BG27" s="21">
        <v>47.969007554669346</v>
      </c>
      <c r="BH27" s="21">
        <v>47.969007554669346</v>
      </c>
      <c r="BI27" s="21">
        <v>47.969007554669346</v>
      </c>
      <c r="BJ27" s="21">
        <v>47.969007554669346</v>
      </c>
      <c r="BK27" s="21">
        <v>47.969007554669346</v>
      </c>
      <c r="BL27" s="21">
        <v>47.969007554669346</v>
      </c>
      <c r="BM27" s="21">
        <v>47.969007554669346</v>
      </c>
      <c r="BN27" s="21">
        <v>47.969007554669346</v>
      </c>
      <c r="BO27" s="21">
        <v>47.969007554669346</v>
      </c>
      <c r="BP27" s="21">
        <v>47.969007554669346</v>
      </c>
      <c r="BQ27" s="21">
        <v>47.969007554669346</v>
      </c>
      <c r="BR27" s="21">
        <v>47.969007554669346</v>
      </c>
      <c r="BS27" s="21">
        <v>47.969007554669346</v>
      </c>
      <c r="BT27" s="21">
        <v>47.969007554669346</v>
      </c>
      <c r="BU27" s="21">
        <v>47.969007554669346</v>
      </c>
      <c r="BV27" s="21">
        <v>47.969007554669346</v>
      </c>
      <c r="BW27" s="21">
        <v>47.969007554669346</v>
      </c>
      <c r="BX27" s="21">
        <v>47.969007554669346</v>
      </c>
      <c r="BY27" s="21">
        <v>47.969007554669346</v>
      </c>
      <c r="BZ27" s="21">
        <v>47.969007554669346</v>
      </c>
      <c r="CA27" s="21">
        <v>47.969007554669346</v>
      </c>
      <c r="CB27" s="21">
        <v>47.969007554669346</v>
      </c>
      <c r="CC27" s="21">
        <v>47.969007554669346</v>
      </c>
      <c r="CD27" s="21">
        <v>47.969007554669346</v>
      </c>
      <c r="CE27" s="21">
        <v>47.969007554669346</v>
      </c>
      <c r="CF27" s="21">
        <v>47.969007554669346</v>
      </c>
      <c r="CG27" s="21">
        <v>47.969007554669346</v>
      </c>
      <c r="CH27" s="21">
        <v>47.969007554669346</v>
      </c>
      <c r="CI27" s="21">
        <v>47.969007554669346</v>
      </c>
      <c r="CJ27" s="21">
        <v>47.969007554669346</v>
      </c>
      <c r="CK27" s="21">
        <v>47.969007554669346</v>
      </c>
      <c r="CL27" s="21">
        <v>47.969007554669346</v>
      </c>
      <c r="CM27" s="21">
        <v>47.969007554669346</v>
      </c>
      <c r="CN27" s="21">
        <v>47.969007554669346</v>
      </c>
      <c r="CO27" s="21">
        <v>47.969007554669346</v>
      </c>
    </row>
    <row r="28" spans="1:93" s="6" customFormat="1" x14ac:dyDescent="0.2">
      <c r="A28" s="4" t="s">
        <v>66</v>
      </c>
      <c r="B28" s="5" t="s">
        <v>44</v>
      </c>
      <c r="C28" s="19">
        <v>33.270312785620121</v>
      </c>
      <c r="D28" s="19">
        <v>33.644323379344684</v>
      </c>
      <c r="E28" s="19">
        <v>34.018333973069232</v>
      </c>
      <c r="F28" s="19">
        <v>34.392344566793795</v>
      </c>
      <c r="G28" s="19">
        <v>34.766355160518359</v>
      </c>
      <c r="H28" s="19">
        <v>35.140365754242922</v>
      </c>
      <c r="I28" s="19">
        <v>35.514376347967485</v>
      </c>
      <c r="J28" s="19">
        <v>35.88838694169204</v>
      </c>
      <c r="K28" s="19">
        <v>36.262397535416596</v>
      </c>
      <c r="L28" s="19">
        <v>36.636408129141159</v>
      </c>
      <c r="M28" s="19">
        <v>37.010418722865722</v>
      </c>
      <c r="N28" s="19">
        <v>37.384429316590285</v>
      </c>
      <c r="O28" s="19">
        <v>37.758439910314848</v>
      </c>
      <c r="P28" s="19">
        <v>38.132450504039397</v>
      </c>
      <c r="Q28" s="19">
        <v>38.506461097763967</v>
      </c>
      <c r="R28" s="19">
        <v>38.880471691488523</v>
      </c>
      <c r="S28" s="19">
        <v>39.254482285213086</v>
      </c>
      <c r="T28" s="19">
        <v>39.628492878937649</v>
      </c>
      <c r="U28" s="19">
        <v>40.002503472662198</v>
      </c>
      <c r="V28" s="19">
        <v>40.376514066386761</v>
      </c>
      <c r="W28" s="26">
        <v>40.750524660111324</v>
      </c>
      <c r="X28" s="19">
        <v>40.750524660111324</v>
      </c>
      <c r="Y28" s="19">
        <v>40.750524660111324</v>
      </c>
      <c r="Z28" s="19">
        <v>40.750524660111324</v>
      </c>
      <c r="AA28" s="19">
        <v>40.750524660111324</v>
      </c>
      <c r="AB28" s="19">
        <v>40.750524660111324</v>
      </c>
      <c r="AC28" s="19">
        <v>40.750524660111324</v>
      </c>
      <c r="AD28" s="19">
        <v>40.750524660111324</v>
      </c>
      <c r="AE28" s="19">
        <v>40.750524660111324</v>
      </c>
      <c r="AF28" s="19">
        <v>40.750524660111324</v>
      </c>
      <c r="AG28" s="19">
        <v>40.750524660111324</v>
      </c>
      <c r="AH28" s="19">
        <v>40.750524660111324</v>
      </c>
      <c r="AI28" s="19">
        <v>40.750524660111324</v>
      </c>
      <c r="AJ28" s="19">
        <v>40.750524660111324</v>
      </c>
      <c r="AK28" s="19">
        <v>40.750524660111324</v>
      </c>
      <c r="AL28" s="19">
        <v>40.750524660111324</v>
      </c>
      <c r="AM28" s="19">
        <v>40.750524660111324</v>
      </c>
      <c r="AN28" s="19">
        <v>40.750524660111324</v>
      </c>
      <c r="AO28" s="19">
        <v>40.750524660111324</v>
      </c>
      <c r="AP28" s="19">
        <v>40.750524660111324</v>
      </c>
      <c r="AQ28" s="19">
        <v>40.750524660111324</v>
      </c>
      <c r="AR28" s="19">
        <v>40.750524660111324</v>
      </c>
      <c r="AS28" s="19">
        <v>40.750524660111324</v>
      </c>
      <c r="AT28" s="19">
        <v>40.750524660111324</v>
      </c>
      <c r="AU28" s="19">
        <v>40.750524660111324</v>
      </c>
      <c r="AV28" s="19">
        <v>40.750524660111324</v>
      </c>
      <c r="AW28" s="19">
        <v>40.750524660111324</v>
      </c>
      <c r="AX28" s="19">
        <v>40.750524660111324</v>
      </c>
      <c r="AY28" s="19">
        <v>40.750524660111324</v>
      </c>
      <c r="AZ28" s="19">
        <v>40.750524660111324</v>
      </c>
      <c r="BA28" s="19">
        <v>40.750524660111324</v>
      </c>
      <c r="BB28" s="25">
        <v>40.750524660111324</v>
      </c>
      <c r="BC28" s="25">
        <v>40.750524660111324</v>
      </c>
      <c r="BD28" s="25">
        <v>40.750524660111324</v>
      </c>
      <c r="BE28" s="25">
        <v>40.750524660111324</v>
      </c>
      <c r="BF28" s="25">
        <v>40.750524660111324</v>
      </c>
      <c r="BG28" s="25">
        <v>40.750524660111324</v>
      </c>
      <c r="BH28" s="25">
        <v>40.750524660111324</v>
      </c>
      <c r="BI28" s="25">
        <v>40.750524660111324</v>
      </c>
      <c r="BJ28" s="25">
        <v>40.750524660111324</v>
      </c>
      <c r="BK28" s="25">
        <v>40.750524660111324</v>
      </c>
      <c r="BL28" s="25">
        <v>40.750524660111324</v>
      </c>
      <c r="BM28" s="25">
        <v>40.750524660111324</v>
      </c>
      <c r="BN28" s="25">
        <v>40.750524660111324</v>
      </c>
      <c r="BO28" s="25">
        <v>40.750524660111324</v>
      </c>
      <c r="BP28" s="25">
        <v>40.750524660111324</v>
      </c>
      <c r="BQ28" s="25">
        <v>40.750524660111324</v>
      </c>
      <c r="BR28" s="25">
        <v>40.750524660111324</v>
      </c>
      <c r="BS28" s="25">
        <v>40.750524660111324</v>
      </c>
      <c r="BT28" s="25">
        <v>40.750524660111324</v>
      </c>
      <c r="BU28" s="25">
        <v>40.750524660111324</v>
      </c>
      <c r="BV28" s="25">
        <v>40.750524660111324</v>
      </c>
      <c r="BW28" s="25">
        <v>40.750524660111324</v>
      </c>
      <c r="BX28" s="25">
        <v>40.750524660111324</v>
      </c>
      <c r="BY28" s="25">
        <v>40.750524660111324</v>
      </c>
      <c r="BZ28" s="25">
        <v>40.750524660111324</v>
      </c>
      <c r="CA28" s="25">
        <v>40.750524660111324</v>
      </c>
      <c r="CB28" s="25">
        <v>40.750524660111324</v>
      </c>
      <c r="CC28" s="25">
        <v>40.750524660111324</v>
      </c>
      <c r="CD28" s="25">
        <v>40.750524660111324</v>
      </c>
      <c r="CE28" s="25">
        <v>40.750524660111324</v>
      </c>
      <c r="CF28" s="25">
        <v>40.750524660111324</v>
      </c>
      <c r="CG28" s="25">
        <v>40.750524660111324</v>
      </c>
      <c r="CH28" s="25">
        <v>40.750524660111324</v>
      </c>
      <c r="CI28" s="25">
        <v>40.750524660111324</v>
      </c>
      <c r="CJ28" s="25">
        <v>40.750524660111324</v>
      </c>
      <c r="CK28" s="25">
        <v>40.750524660111324</v>
      </c>
      <c r="CL28" s="25">
        <v>40.750524660111324</v>
      </c>
      <c r="CM28" s="25">
        <v>40.750524660111324</v>
      </c>
      <c r="CN28" s="25">
        <v>40.750524660111324</v>
      </c>
      <c r="CO28" s="25">
        <v>40.750524660111324</v>
      </c>
    </row>
    <row r="29" spans="1:93" s="6" customFormat="1" x14ac:dyDescent="0.2">
      <c r="A29" s="4" t="s">
        <v>67</v>
      </c>
      <c r="B29" s="5" t="s">
        <v>44</v>
      </c>
      <c r="C29" s="19">
        <v>30.817993302531004</v>
      </c>
      <c r="D29" s="19">
        <v>31.219064094251145</v>
      </c>
      <c r="E29" s="19">
        <v>31.620134885971282</v>
      </c>
      <c r="F29" s="19">
        <v>32.021205677691412</v>
      </c>
      <c r="G29" s="19">
        <v>32.42227646941155</v>
      </c>
      <c r="H29" s="19">
        <v>32.823347261131687</v>
      </c>
      <c r="I29" s="19">
        <v>33.224418052851817</v>
      </c>
      <c r="J29" s="19">
        <v>33.625488844571954</v>
      </c>
      <c r="K29" s="19">
        <v>34.026559636292092</v>
      </c>
      <c r="L29" s="19">
        <v>34.427630428012229</v>
      </c>
      <c r="M29" s="19">
        <v>34.828701219732366</v>
      </c>
      <c r="N29" s="19">
        <v>35.229772011452503</v>
      </c>
      <c r="O29" s="19">
        <v>35.630842803172641</v>
      </c>
      <c r="P29" s="19">
        <v>36.031913594892778</v>
      </c>
      <c r="Q29" s="19">
        <v>36.432984386612915</v>
      </c>
      <c r="R29" s="19">
        <v>36.834055178333053</v>
      </c>
      <c r="S29" s="19">
        <v>37.23512597005319</v>
      </c>
      <c r="T29" s="19">
        <v>37.636196761773313</v>
      </c>
      <c r="U29" s="19">
        <v>38.03726755349345</v>
      </c>
      <c r="V29" s="19">
        <v>38.438338345213587</v>
      </c>
      <c r="W29" s="26">
        <v>38.839409136933725</v>
      </c>
      <c r="X29" s="19">
        <v>38.839409136933725</v>
      </c>
      <c r="Y29" s="19">
        <v>38.839409136933725</v>
      </c>
      <c r="Z29" s="19">
        <v>38.839409136933725</v>
      </c>
      <c r="AA29" s="19">
        <v>38.839409136933725</v>
      </c>
      <c r="AB29" s="19">
        <v>38.839409136933725</v>
      </c>
      <c r="AC29" s="19">
        <v>38.839409136933725</v>
      </c>
      <c r="AD29" s="19">
        <v>38.839409136933725</v>
      </c>
      <c r="AE29" s="19">
        <v>38.839409136933725</v>
      </c>
      <c r="AF29" s="19">
        <v>38.839409136933725</v>
      </c>
      <c r="AG29" s="19">
        <v>38.839409136933725</v>
      </c>
      <c r="AH29" s="19">
        <v>38.839409136933725</v>
      </c>
      <c r="AI29" s="19">
        <v>38.839409136933725</v>
      </c>
      <c r="AJ29" s="19">
        <v>38.839409136933725</v>
      </c>
      <c r="AK29" s="19">
        <v>38.839409136933725</v>
      </c>
      <c r="AL29" s="19">
        <v>38.839409136933725</v>
      </c>
      <c r="AM29" s="19">
        <v>38.839409136933725</v>
      </c>
      <c r="AN29" s="19">
        <v>38.839409136933725</v>
      </c>
      <c r="AO29" s="19">
        <v>38.839409136933725</v>
      </c>
      <c r="AP29" s="19">
        <v>38.839409136933725</v>
      </c>
      <c r="AQ29" s="19">
        <v>38.839409136933725</v>
      </c>
      <c r="AR29" s="19">
        <v>38.839409136933725</v>
      </c>
      <c r="AS29" s="19">
        <v>38.839409136933725</v>
      </c>
      <c r="AT29" s="19">
        <v>38.839409136933725</v>
      </c>
      <c r="AU29" s="19">
        <v>38.839409136933725</v>
      </c>
      <c r="AV29" s="19">
        <v>38.839409136933725</v>
      </c>
      <c r="AW29" s="19">
        <v>38.839409136933725</v>
      </c>
      <c r="AX29" s="19">
        <v>38.839409136933725</v>
      </c>
      <c r="AY29" s="19">
        <v>38.839409136933725</v>
      </c>
      <c r="AZ29" s="19">
        <v>38.839409136933725</v>
      </c>
      <c r="BA29" s="19">
        <v>38.839409136933725</v>
      </c>
      <c r="BB29" s="25">
        <v>38.839409136933725</v>
      </c>
      <c r="BC29" s="25">
        <v>38.839409136933725</v>
      </c>
      <c r="BD29" s="25">
        <v>38.839409136933725</v>
      </c>
      <c r="BE29" s="25">
        <v>38.839409136933725</v>
      </c>
      <c r="BF29" s="25">
        <v>38.839409136933725</v>
      </c>
      <c r="BG29" s="25">
        <v>38.839409136933725</v>
      </c>
      <c r="BH29" s="25">
        <v>38.839409136933725</v>
      </c>
      <c r="BI29" s="25">
        <v>38.839409136933725</v>
      </c>
      <c r="BJ29" s="25">
        <v>38.839409136933725</v>
      </c>
      <c r="BK29" s="25">
        <v>38.839409136933725</v>
      </c>
      <c r="BL29" s="25">
        <v>38.839409136933725</v>
      </c>
      <c r="BM29" s="25">
        <v>38.839409136933725</v>
      </c>
      <c r="BN29" s="25">
        <v>38.839409136933725</v>
      </c>
      <c r="BO29" s="25">
        <v>38.839409136933725</v>
      </c>
      <c r="BP29" s="25">
        <v>38.839409136933725</v>
      </c>
      <c r="BQ29" s="25">
        <v>38.839409136933725</v>
      </c>
      <c r="BR29" s="25">
        <v>38.839409136933725</v>
      </c>
      <c r="BS29" s="25">
        <v>38.839409136933725</v>
      </c>
      <c r="BT29" s="25">
        <v>38.839409136933725</v>
      </c>
      <c r="BU29" s="25">
        <v>38.839409136933725</v>
      </c>
      <c r="BV29" s="25">
        <v>38.839409136933725</v>
      </c>
      <c r="BW29" s="25">
        <v>38.839409136933725</v>
      </c>
      <c r="BX29" s="25">
        <v>38.839409136933725</v>
      </c>
      <c r="BY29" s="25">
        <v>38.839409136933725</v>
      </c>
      <c r="BZ29" s="25">
        <v>38.839409136933725</v>
      </c>
      <c r="CA29" s="25">
        <v>38.839409136933725</v>
      </c>
      <c r="CB29" s="25">
        <v>38.839409136933725</v>
      </c>
      <c r="CC29" s="25">
        <v>38.839409136933725</v>
      </c>
      <c r="CD29" s="25">
        <v>38.839409136933725</v>
      </c>
      <c r="CE29" s="25">
        <v>38.839409136933725</v>
      </c>
      <c r="CF29" s="25">
        <v>38.839409136933725</v>
      </c>
      <c r="CG29" s="25">
        <v>38.839409136933725</v>
      </c>
      <c r="CH29" s="25">
        <v>38.839409136933725</v>
      </c>
      <c r="CI29" s="25">
        <v>38.839409136933725</v>
      </c>
      <c r="CJ29" s="25">
        <v>38.839409136933725</v>
      </c>
      <c r="CK29" s="25">
        <v>38.839409136933725</v>
      </c>
      <c r="CL29" s="25">
        <v>38.839409136933725</v>
      </c>
      <c r="CM29" s="25">
        <v>38.839409136933725</v>
      </c>
      <c r="CN29" s="25">
        <v>38.839409136933725</v>
      </c>
      <c r="CO29" s="25">
        <v>38.839409136933725</v>
      </c>
    </row>
    <row r="30" spans="1:93" s="6" customFormat="1" x14ac:dyDescent="0.2">
      <c r="A30" s="4" t="s">
        <v>68</v>
      </c>
      <c r="B30" s="5" t="s">
        <v>44</v>
      </c>
      <c r="C30" s="19">
        <v>27.100091720266629</v>
      </c>
      <c r="D30" s="19">
        <v>27.501162511986767</v>
      </c>
      <c r="E30" s="19">
        <v>27.902233303706904</v>
      </c>
      <c r="F30" s="19">
        <v>28.303304095427034</v>
      </c>
      <c r="G30" s="19">
        <v>28.704374887147171</v>
      </c>
      <c r="H30" s="19">
        <v>29.105445678867309</v>
      </c>
      <c r="I30" s="19">
        <v>29.506516470587442</v>
      </c>
      <c r="J30" s="19">
        <v>29.90758726230758</v>
      </c>
      <c r="K30" s="19">
        <v>30.308658054027717</v>
      </c>
      <c r="L30" s="19">
        <v>30.709728845747854</v>
      </c>
      <c r="M30" s="19">
        <v>31.110799637467984</v>
      </c>
      <c r="N30" s="19">
        <v>31.511870429188122</v>
      </c>
      <c r="O30" s="19">
        <v>31.912941220908259</v>
      </c>
      <c r="P30" s="19">
        <v>32.314012012628396</v>
      </c>
      <c r="Q30" s="19">
        <v>32.715082804348533</v>
      </c>
      <c r="R30" s="19">
        <v>33.116153596068671</v>
      </c>
      <c r="S30" s="19">
        <v>33.517224387788808</v>
      </c>
      <c r="T30" s="19">
        <v>33.918295179508931</v>
      </c>
      <c r="U30" s="19">
        <v>34.319365971229068</v>
      </c>
      <c r="V30" s="19">
        <v>34.720436762949205</v>
      </c>
      <c r="W30" s="26">
        <v>35.121507554669343</v>
      </c>
      <c r="X30" s="19">
        <v>35.121507554669343</v>
      </c>
      <c r="Y30" s="19">
        <v>35.121507554669343</v>
      </c>
      <c r="Z30" s="19">
        <v>35.121507554669343</v>
      </c>
      <c r="AA30" s="19">
        <v>35.121507554669343</v>
      </c>
      <c r="AB30" s="19">
        <v>35.121507554669343</v>
      </c>
      <c r="AC30" s="19">
        <v>35.121507554669343</v>
      </c>
      <c r="AD30" s="19">
        <v>35.121507554669343</v>
      </c>
      <c r="AE30" s="19">
        <v>35.121507554669343</v>
      </c>
      <c r="AF30" s="19">
        <v>35.121507554669343</v>
      </c>
      <c r="AG30" s="19">
        <v>35.121507554669343</v>
      </c>
      <c r="AH30" s="19">
        <v>35.121507554669343</v>
      </c>
      <c r="AI30" s="19">
        <v>35.121507554669343</v>
      </c>
      <c r="AJ30" s="19">
        <v>35.121507554669343</v>
      </c>
      <c r="AK30" s="19">
        <v>35.121507554669343</v>
      </c>
      <c r="AL30" s="19">
        <v>35.121507554669343</v>
      </c>
      <c r="AM30" s="19">
        <v>35.121507554669343</v>
      </c>
      <c r="AN30" s="19">
        <v>35.121507554669343</v>
      </c>
      <c r="AO30" s="19">
        <v>35.121507554669343</v>
      </c>
      <c r="AP30" s="19">
        <v>35.121507554669343</v>
      </c>
      <c r="AQ30" s="19">
        <v>35.121507554669343</v>
      </c>
      <c r="AR30" s="19">
        <v>35.121507554669343</v>
      </c>
      <c r="AS30" s="19">
        <v>35.121507554669343</v>
      </c>
      <c r="AT30" s="19">
        <v>35.121507554669343</v>
      </c>
      <c r="AU30" s="19">
        <v>35.121507554669343</v>
      </c>
      <c r="AV30" s="19">
        <v>35.121507554669343</v>
      </c>
      <c r="AW30" s="19">
        <v>35.121507554669343</v>
      </c>
      <c r="AX30" s="19">
        <v>35.121507554669343</v>
      </c>
      <c r="AY30" s="19">
        <v>35.121507554669343</v>
      </c>
      <c r="AZ30" s="19">
        <v>35.121507554669343</v>
      </c>
      <c r="BA30" s="19">
        <v>35.121507554669343</v>
      </c>
      <c r="BB30" s="25">
        <v>35.121507554669343</v>
      </c>
      <c r="BC30" s="25">
        <v>35.121507554669343</v>
      </c>
      <c r="BD30" s="25">
        <v>35.121507554669343</v>
      </c>
      <c r="BE30" s="25">
        <v>35.121507554669343</v>
      </c>
      <c r="BF30" s="25">
        <v>35.121507554669343</v>
      </c>
      <c r="BG30" s="25">
        <v>35.121507554669343</v>
      </c>
      <c r="BH30" s="25">
        <v>35.121507554669343</v>
      </c>
      <c r="BI30" s="25">
        <v>35.121507554669343</v>
      </c>
      <c r="BJ30" s="25">
        <v>35.121507554669343</v>
      </c>
      <c r="BK30" s="25">
        <v>35.121507554669343</v>
      </c>
      <c r="BL30" s="25">
        <v>35.121507554669343</v>
      </c>
      <c r="BM30" s="25">
        <v>35.121507554669343</v>
      </c>
      <c r="BN30" s="25">
        <v>35.121507554669343</v>
      </c>
      <c r="BO30" s="25">
        <v>35.121507554669343</v>
      </c>
      <c r="BP30" s="25">
        <v>35.121507554669343</v>
      </c>
      <c r="BQ30" s="25">
        <v>35.121507554669343</v>
      </c>
      <c r="BR30" s="25">
        <v>35.121507554669343</v>
      </c>
      <c r="BS30" s="25">
        <v>35.121507554669343</v>
      </c>
      <c r="BT30" s="25">
        <v>35.121507554669343</v>
      </c>
      <c r="BU30" s="25">
        <v>35.121507554669343</v>
      </c>
      <c r="BV30" s="25">
        <v>35.121507554669343</v>
      </c>
      <c r="BW30" s="25">
        <v>35.121507554669343</v>
      </c>
      <c r="BX30" s="25">
        <v>35.121507554669343</v>
      </c>
      <c r="BY30" s="25">
        <v>35.121507554669343</v>
      </c>
      <c r="BZ30" s="25">
        <v>35.121507554669343</v>
      </c>
      <c r="CA30" s="25">
        <v>35.121507554669343</v>
      </c>
      <c r="CB30" s="25">
        <v>35.121507554669343</v>
      </c>
      <c r="CC30" s="25">
        <v>35.121507554669343</v>
      </c>
      <c r="CD30" s="25">
        <v>35.121507554669343</v>
      </c>
      <c r="CE30" s="25">
        <v>35.121507554669343</v>
      </c>
      <c r="CF30" s="25">
        <v>35.121507554669343</v>
      </c>
      <c r="CG30" s="25">
        <v>35.121507554669343</v>
      </c>
      <c r="CH30" s="25">
        <v>35.121507554669343</v>
      </c>
      <c r="CI30" s="25">
        <v>35.121507554669343</v>
      </c>
      <c r="CJ30" s="25">
        <v>35.121507554669343</v>
      </c>
      <c r="CK30" s="25">
        <v>35.121507554669343</v>
      </c>
      <c r="CL30" s="25">
        <v>35.121507554669343</v>
      </c>
      <c r="CM30" s="25">
        <v>35.121507554669343</v>
      </c>
      <c r="CN30" s="25">
        <v>35.121507554669343</v>
      </c>
      <c r="CO30" s="25">
        <v>35.121507554669343</v>
      </c>
    </row>
    <row r="31" spans="1:93" x14ac:dyDescent="0.2">
      <c r="C31" s="19"/>
      <c r="D31" s="19"/>
      <c r="E31" s="19"/>
      <c r="F31" s="19"/>
      <c r="G31" s="19"/>
      <c r="H31" s="19"/>
      <c r="I31" s="19"/>
      <c r="J31" s="19"/>
      <c r="K31" s="19"/>
      <c r="L31" s="19"/>
      <c r="M31" s="19"/>
      <c r="N31" s="19"/>
      <c r="O31" s="19"/>
      <c r="P31" s="19"/>
      <c r="Q31" s="19"/>
      <c r="R31" s="19"/>
      <c r="S31" s="19"/>
      <c r="T31" s="19"/>
      <c r="U31" s="19"/>
      <c r="V31" s="19"/>
      <c r="W31" s="26"/>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row>
    <row r="32" spans="1:93" x14ac:dyDescent="0.2">
      <c r="A32" s="4" t="s">
        <v>45</v>
      </c>
      <c r="B32" s="5" t="s">
        <v>44</v>
      </c>
      <c r="C32" s="19">
        <v>110.20527232950933</v>
      </c>
      <c r="D32" s="19">
        <v>113.14947160213566</v>
      </c>
      <c r="E32" s="19">
        <v>116.46337452141563</v>
      </c>
      <c r="F32" s="19">
        <v>118.53069395634139</v>
      </c>
      <c r="G32" s="19">
        <v>120.11099406901826</v>
      </c>
      <c r="H32" s="26">
        <v>120.83193784863006</v>
      </c>
      <c r="I32" s="26">
        <v>121.29318809535218</v>
      </c>
      <c r="J32" s="26">
        <v>121.75447144136967</v>
      </c>
      <c r="K32" s="26">
        <v>122.21578787812635</v>
      </c>
      <c r="L32" s="26">
        <v>122.67713739706991</v>
      </c>
      <c r="M32" s="26">
        <v>123.13851998965245</v>
      </c>
      <c r="N32" s="26">
        <v>123.59993564733003</v>
      </c>
      <c r="O32" s="19">
        <v>124.06138436156309</v>
      </c>
      <c r="P32" s="19">
        <v>124.52286612381599</v>
      </c>
      <c r="Q32" s="19">
        <v>124.98438092555737</v>
      </c>
      <c r="R32" s="19">
        <v>125.44592875826004</v>
      </c>
      <c r="S32" s="19">
        <v>125.90750961340088</v>
      </c>
      <c r="T32" s="19">
        <v>126.36912348246102</v>
      </c>
      <c r="U32" s="19">
        <v>126.83077035692561</v>
      </c>
      <c r="V32" s="19">
        <v>127.29245022828403</v>
      </c>
      <c r="W32" s="26">
        <v>127.75416308802983</v>
      </c>
      <c r="X32" s="19">
        <v>127.71829234587909</v>
      </c>
      <c r="Y32" s="19">
        <v>127.6824390590773</v>
      </c>
      <c r="Z32" s="19">
        <v>127.6466032191304</v>
      </c>
      <c r="AA32" s="19">
        <v>127.61078481754845</v>
      </c>
      <c r="AB32" s="19">
        <v>127.57498384584562</v>
      </c>
      <c r="AC32" s="19">
        <v>127.57498384584562</v>
      </c>
      <c r="AD32" s="19">
        <v>127.57498384584562</v>
      </c>
      <c r="AE32" s="19">
        <v>127.57498384584562</v>
      </c>
      <c r="AF32" s="19">
        <v>127.57498384584562</v>
      </c>
      <c r="AG32" s="19">
        <v>127.57498384584562</v>
      </c>
      <c r="AH32" s="19">
        <v>127.57498384584562</v>
      </c>
      <c r="AI32" s="19">
        <v>127.57498384584562</v>
      </c>
      <c r="AJ32" s="19">
        <v>127.57498384584562</v>
      </c>
      <c r="AK32" s="19">
        <v>127.57498384584562</v>
      </c>
      <c r="AL32" s="19">
        <v>127.57498384584562</v>
      </c>
      <c r="AM32" s="19">
        <v>127.57498384584562</v>
      </c>
      <c r="AN32" s="19">
        <v>127.57498384584562</v>
      </c>
      <c r="AO32" s="19">
        <v>127.57498384584562</v>
      </c>
      <c r="AP32" s="19">
        <v>127.57498384584562</v>
      </c>
      <c r="AQ32" s="19">
        <v>127.57498384584562</v>
      </c>
      <c r="AR32" s="19">
        <v>127.57498384584562</v>
      </c>
      <c r="AS32" s="19">
        <v>127.57498384584562</v>
      </c>
      <c r="AT32" s="19">
        <v>127.57498384584562</v>
      </c>
      <c r="AU32" s="19">
        <v>127.57498384584562</v>
      </c>
      <c r="AV32" s="19">
        <v>127.57498384584562</v>
      </c>
      <c r="AW32" s="19">
        <v>127.57498384584562</v>
      </c>
      <c r="AX32" s="19">
        <v>127.57498384584562</v>
      </c>
      <c r="AY32" s="19">
        <v>127.57498384584562</v>
      </c>
      <c r="AZ32" s="19">
        <v>127.57498384584562</v>
      </c>
      <c r="BA32" s="19">
        <v>127.57498384584562</v>
      </c>
      <c r="BB32" s="19">
        <v>127.57498384584562</v>
      </c>
      <c r="BC32" s="19">
        <v>127.57498384584562</v>
      </c>
      <c r="BD32" s="19">
        <v>127.57498384584562</v>
      </c>
      <c r="BE32" s="19">
        <v>127.57498384584562</v>
      </c>
      <c r="BF32" s="19">
        <v>127.57498384584562</v>
      </c>
      <c r="BG32" s="19">
        <v>127.57498384584562</v>
      </c>
      <c r="BH32" s="19">
        <v>127.57498384584562</v>
      </c>
      <c r="BI32" s="19">
        <v>127.57498384584562</v>
      </c>
      <c r="BJ32" s="19">
        <v>127.57498384584562</v>
      </c>
      <c r="BK32" s="19">
        <v>127.57498384584562</v>
      </c>
      <c r="BL32" s="19">
        <v>127.57498384584562</v>
      </c>
      <c r="BM32" s="19">
        <v>127.57498384584562</v>
      </c>
      <c r="BN32" s="19">
        <v>127.57498384584562</v>
      </c>
      <c r="BO32" s="19">
        <v>127.57498384584562</v>
      </c>
      <c r="BP32" s="19">
        <v>127.57498384584562</v>
      </c>
      <c r="BQ32" s="19">
        <v>127.57498384584562</v>
      </c>
      <c r="BR32" s="19">
        <v>127.57498384584562</v>
      </c>
      <c r="BS32" s="19">
        <v>127.57498384584562</v>
      </c>
      <c r="BT32" s="19">
        <v>127.57498384584562</v>
      </c>
      <c r="BU32" s="19">
        <v>127.57498384584562</v>
      </c>
      <c r="BV32" s="19">
        <v>127.57498384584562</v>
      </c>
      <c r="BW32" s="19">
        <v>127.57498384584562</v>
      </c>
      <c r="BX32" s="19">
        <v>127.57498384584562</v>
      </c>
      <c r="BY32" s="19">
        <v>127.57498384584562</v>
      </c>
      <c r="BZ32" s="19">
        <v>127.57498384584562</v>
      </c>
      <c r="CA32" s="19">
        <v>127.57498384584562</v>
      </c>
      <c r="CB32" s="19">
        <v>127.57498384584562</v>
      </c>
      <c r="CC32" s="19">
        <v>127.57498384584562</v>
      </c>
      <c r="CD32" s="19">
        <v>127.57498384584562</v>
      </c>
      <c r="CE32" s="19">
        <v>127.57498384584562</v>
      </c>
      <c r="CF32" s="19">
        <v>127.57498384584562</v>
      </c>
      <c r="CG32" s="19">
        <v>127.57498384584562</v>
      </c>
      <c r="CH32" s="19">
        <v>127.57498384584562</v>
      </c>
      <c r="CI32" s="19">
        <v>127.57498384584562</v>
      </c>
      <c r="CJ32" s="19">
        <v>127.57498384584562</v>
      </c>
      <c r="CK32" s="19">
        <v>127.57498384584562</v>
      </c>
      <c r="CL32" s="19">
        <v>127.57498384584562</v>
      </c>
      <c r="CM32" s="19">
        <v>127.57498384584562</v>
      </c>
      <c r="CN32" s="19">
        <v>127.57498384584562</v>
      </c>
      <c r="CO32" s="19">
        <v>127.57498384584562</v>
      </c>
    </row>
    <row r="33" spans="1:94" x14ac:dyDescent="0.2">
      <c r="A33" s="4" t="s">
        <v>46</v>
      </c>
      <c r="B33" s="5" t="s">
        <v>44</v>
      </c>
      <c r="C33" s="19">
        <v>114.68549204291872</v>
      </c>
      <c r="D33" s="19">
        <v>117.68446363824741</v>
      </c>
      <c r="E33" s="19">
        <v>121.05327591767301</v>
      </c>
      <c r="F33" s="19">
        <v>123.17516447026563</v>
      </c>
      <c r="G33" s="19">
        <v>124.80972190379811</v>
      </c>
      <c r="H33" s="19">
        <v>125.58484810273201</v>
      </c>
      <c r="I33" s="19">
        <v>126.09999847141684</v>
      </c>
      <c r="J33" s="19">
        <v>126.61529005456671</v>
      </c>
      <c r="K33" s="19">
        <v>127.13044042325151</v>
      </c>
      <c r="L33" s="19">
        <v>127.64573200640142</v>
      </c>
      <c r="M33" s="19">
        <v>128.16102358955129</v>
      </c>
      <c r="N33" s="19">
        <v>128.67631517270121</v>
      </c>
      <c r="O33" s="19">
        <v>129.1916067558511</v>
      </c>
      <c r="P33" s="19">
        <v>129.70689833900099</v>
      </c>
      <c r="Q33" s="19">
        <v>130.22218992215093</v>
      </c>
      <c r="R33" s="19">
        <v>130.73762271976591</v>
      </c>
      <c r="S33" s="19">
        <v>130.73762271976591</v>
      </c>
      <c r="T33" s="19">
        <v>130.73762271976591</v>
      </c>
      <c r="U33" s="19">
        <v>130.73762271976591</v>
      </c>
      <c r="V33" s="19">
        <v>130.73762271976591</v>
      </c>
      <c r="W33" s="26">
        <v>130.73762271976591</v>
      </c>
      <c r="X33" s="19">
        <v>130.73762271976591</v>
      </c>
      <c r="Y33" s="19">
        <v>130.73762271976591</v>
      </c>
      <c r="Z33" s="19">
        <v>130.73762271976591</v>
      </c>
      <c r="AA33" s="19">
        <v>130.73762271976591</v>
      </c>
      <c r="AB33" s="19">
        <v>130.73762271976591</v>
      </c>
      <c r="AC33" s="19">
        <v>130.73762271976591</v>
      </c>
      <c r="AD33" s="19">
        <v>130.73762271976591</v>
      </c>
      <c r="AE33" s="19">
        <v>130.73762271976591</v>
      </c>
      <c r="AF33" s="19">
        <v>130.73762271976591</v>
      </c>
      <c r="AG33" s="19">
        <v>130.73762271976591</v>
      </c>
      <c r="AH33" s="19">
        <v>130.73762271976591</v>
      </c>
      <c r="AI33" s="19">
        <v>130.73762271976591</v>
      </c>
      <c r="AJ33" s="19">
        <v>130.73762271976591</v>
      </c>
      <c r="AK33" s="19">
        <v>130.73762271976591</v>
      </c>
      <c r="AL33" s="19">
        <v>130.73762271976591</v>
      </c>
      <c r="AM33" s="19">
        <v>130.73762271976591</v>
      </c>
      <c r="AN33" s="19">
        <v>130.73762271976591</v>
      </c>
      <c r="AO33" s="19">
        <v>130.73762271976591</v>
      </c>
      <c r="AP33" s="19">
        <v>130.73762271976591</v>
      </c>
      <c r="AQ33" s="19">
        <v>130.73762271976591</v>
      </c>
      <c r="AR33" s="19">
        <v>130.73762271976591</v>
      </c>
      <c r="AS33" s="19">
        <v>130.73762271976591</v>
      </c>
      <c r="AT33" s="19">
        <v>130.73762271976591</v>
      </c>
      <c r="AU33" s="19">
        <v>130.73762271976591</v>
      </c>
      <c r="AV33" s="19">
        <v>130.73762271976591</v>
      </c>
      <c r="AW33" s="19">
        <v>130.73762271976591</v>
      </c>
      <c r="AX33" s="19">
        <v>130.73762271976591</v>
      </c>
      <c r="AY33" s="19">
        <v>130.73762271976591</v>
      </c>
      <c r="AZ33" s="19">
        <v>130.73762271976591</v>
      </c>
      <c r="BA33" s="19">
        <v>130.73762271976591</v>
      </c>
      <c r="BB33" s="19">
        <v>130.73762271976591</v>
      </c>
      <c r="BC33" s="19">
        <v>130.73762271976591</v>
      </c>
      <c r="BD33" s="19">
        <v>130.73762271976591</v>
      </c>
      <c r="BE33" s="19">
        <v>130.73762271976591</v>
      </c>
      <c r="BF33" s="19">
        <v>130.73762271976591</v>
      </c>
      <c r="BG33" s="19">
        <v>130.73762271976591</v>
      </c>
      <c r="BH33" s="19">
        <v>130.73762271976591</v>
      </c>
      <c r="BI33" s="19">
        <v>130.73762271976591</v>
      </c>
      <c r="BJ33" s="19">
        <v>130.73762271976591</v>
      </c>
      <c r="BK33" s="19">
        <v>130.73762271976591</v>
      </c>
      <c r="BL33" s="19">
        <v>130.73762271976591</v>
      </c>
      <c r="BM33" s="19">
        <v>130.73762271976591</v>
      </c>
      <c r="BN33" s="19">
        <v>130.73762271976591</v>
      </c>
      <c r="BO33" s="19">
        <v>130.73762271976591</v>
      </c>
      <c r="BP33" s="19">
        <v>130.73762271976591</v>
      </c>
      <c r="BQ33" s="19">
        <v>130.73762271976591</v>
      </c>
      <c r="BR33" s="19">
        <v>130.73762271976591</v>
      </c>
      <c r="BS33" s="19">
        <v>130.73762271976591</v>
      </c>
      <c r="BT33" s="19">
        <v>130.73762271976591</v>
      </c>
      <c r="BU33" s="19">
        <v>130.73762271976591</v>
      </c>
      <c r="BV33" s="19">
        <v>130.73762271976591</v>
      </c>
      <c r="BW33" s="19">
        <v>130.73762271976591</v>
      </c>
      <c r="BX33" s="19">
        <v>130.73762271976591</v>
      </c>
      <c r="BY33" s="19">
        <v>130.73762271976591</v>
      </c>
      <c r="BZ33" s="19">
        <v>130.73762271976591</v>
      </c>
      <c r="CA33" s="19">
        <v>130.73762271976591</v>
      </c>
      <c r="CB33" s="19">
        <v>130.73762271976591</v>
      </c>
      <c r="CC33" s="19">
        <v>130.73762271976591</v>
      </c>
      <c r="CD33" s="19">
        <v>130.73762271976591</v>
      </c>
      <c r="CE33" s="19">
        <v>130.73762271976591</v>
      </c>
      <c r="CF33" s="19">
        <v>130.73762271976591</v>
      </c>
      <c r="CG33" s="19">
        <v>130.73762271976591</v>
      </c>
      <c r="CH33" s="19">
        <v>130.73762271976591</v>
      </c>
      <c r="CI33" s="19">
        <v>130.73762271976591</v>
      </c>
      <c r="CJ33" s="19">
        <v>130.73762271976591</v>
      </c>
      <c r="CK33" s="19">
        <v>130.73762271976591</v>
      </c>
      <c r="CL33" s="19">
        <v>130.73762271976591</v>
      </c>
      <c r="CM33" s="19">
        <v>130.73762271976591</v>
      </c>
      <c r="CN33" s="19">
        <v>130.73762271976591</v>
      </c>
      <c r="CO33" s="19">
        <v>130.73762271976591</v>
      </c>
    </row>
    <row r="34" spans="1:94" s="6" customFormat="1" x14ac:dyDescent="0.2">
      <c r="A34" s="4" t="s">
        <v>47</v>
      </c>
      <c r="B34" s="5" t="s">
        <v>44</v>
      </c>
      <c r="C34" s="19">
        <v>35.583838916250492</v>
      </c>
      <c r="D34" s="19">
        <v>36.006194467080846</v>
      </c>
      <c r="E34" s="19">
        <v>36.428563223049757</v>
      </c>
      <c r="F34" s="19">
        <v>36.850945184157204</v>
      </c>
      <c r="G34" s="19">
        <v>37.273340350403174</v>
      </c>
      <c r="H34" s="19">
        <v>37.695748721787673</v>
      </c>
      <c r="I34" s="19">
        <v>38.118170298310723</v>
      </c>
      <c r="J34" s="19">
        <v>38.540605079972302</v>
      </c>
      <c r="K34" s="19">
        <v>38.963053066772424</v>
      </c>
      <c r="L34" s="19">
        <v>39.385514258711062</v>
      </c>
      <c r="M34" s="19">
        <v>39.807988655788265</v>
      </c>
      <c r="N34" s="19">
        <v>40.230476258003968</v>
      </c>
      <c r="O34" s="26">
        <v>40.652977065358222</v>
      </c>
      <c r="P34" s="26">
        <v>41.075491077851012</v>
      </c>
      <c r="Q34" s="26">
        <v>41.498018295482332</v>
      </c>
      <c r="R34" s="26">
        <v>41.920558718252188</v>
      </c>
      <c r="S34" s="26">
        <v>42.343112346160581</v>
      </c>
      <c r="T34" s="26">
        <v>42.765679179207503</v>
      </c>
      <c r="U34" s="26">
        <v>43.188259217392975</v>
      </c>
      <c r="V34" s="19">
        <v>43.61085246071697</v>
      </c>
      <c r="W34" s="26">
        <v>44.033458909179501</v>
      </c>
      <c r="X34" s="19">
        <v>44.033458909179501</v>
      </c>
      <c r="Y34" s="19">
        <v>44.033458909179501</v>
      </c>
      <c r="Z34" s="19">
        <v>44.033458909179501</v>
      </c>
      <c r="AA34" s="19">
        <v>44.033458909179501</v>
      </c>
      <c r="AB34" s="19">
        <v>44.033458909179501</v>
      </c>
      <c r="AC34" s="19">
        <v>44.033458909179501</v>
      </c>
      <c r="AD34" s="19">
        <v>44.033458909179501</v>
      </c>
      <c r="AE34" s="19">
        <v>44.033458909179501</v>
      </c>
      <c r="AF34" s="19">
        <v>44.033458909179501</v>
      </c>
      <c r="AG34" s="19">
        <v>44.033458909179501</v>
      </c>
      <c r="AH34" s="19">
        <v>44.033458909179501</v>
      </c>
      <c r="AI34" s="19">
        <v>44.033458909179501</v>
      </c>
      <c r="AJ34" s="19">
        <v>44.033458909179501</v>
      </c>
      <c r="AK34" s="19">
        <v>44.033458909179501</v>
      </c>
      <c r="AL34" s="19">
        <v>44.033458909179501</v>
      </c>
      <c r="AM34" s="19">
        <v>44.033458909179501</v>
      </c>
      <c r="AN34" s="19">
        <v>44.033458909179501</v>
      </c>
      <c r="AO34" s="19">
        <v>44.033458909179501</v>
      </c>
      <c r="AP34" s="19">
        <v>44.033458909179501</v>
      </c>
      <c r="AQ34" s="19">
        <v>44.033458909179501</v>
      </c>
      <c r="AR34" s="19">
        <v>44.033458909179501</v>
      </c>
      <c r="AS34" s="19">
        <v>44.033458909179501</v>
      </c>
      <c r="AT34" s="19">
        <v>44.033458909179501</v>
      </c>
      <c r="AU34" s="19">
        <v>44.033458909179501</v>
      </c>
      <c r="AV34" s="19">
        <v>44.033458909179501</v>
      </c>
      <c r="AW34" s="19">
        <v>44.033458909179501</v>
      </c>
      <c r="AX34" s="19">
        <v>44.033458909179501</v>
      </c>
      <c r="AY34" s="19">
        <v>44.033458909179501</v>
      </c>
      <c r="AZ34" s="19">
        <v>44.033458909179501</v>
      </c>
      <c r="BA34" s="19">
        <v>44.033458909179501</v>
      </c>
      <c r="BB34" s="19">
        <v>44.033458909179501</v>
      </c>
      <c r="BC34" s="19">
        <v>44.033458909179501</v>
      </c>
      <c r="BD34" s="19">
        <v>44.033458909179501</v>
      </c>
      <c r="BE34" s="19">
        <v>44.033458909179501</v>
      </c>
      <c r="BF34" s="19">
        <v>44.033458909179501</v>
      </c>
      <c r="BG34" s="19">
        <v>44.033458909179501</v>
      </c>
      <c r="BH34" s="19">
        <v>44.033458909179501</v>
      </c>
      <c r="BI34" s="19">
        <v>44.033458909179501</v>
      </c>
      <c r="BJ34" s="19">
        <v>44.033458909179501</v>
      </c>
      <c r="BK34" s="19">
        <v>44.033458909179501</v>
      </c>
      <c r="BL34" s="19">
        <v>44.033458909179501</v>
      </c>
      <c r="BM34" s="19">
        <v>44.033458909179501</v>
      </c>
      <c r="BN34" s="19">
        <v>44.033458909179501</v>
      </c>
      <c r="BO34" s="19">
        <v>44.033458909179501</v>
      </c>
      <c r="BP34" s="19">
        <v>44.033458909179501</v>
      </c>
      <c r="BQ34" s="19">
        <v>44.033458909179501</v>
      </c>
      <c r="BR34" s="19">
        <v>44.033458909179501</v>
      </c>
      <c r="BS34" s="19">
        <v>44.033458909179501</v>
      </c>
      <c r="BT34" s="19">
        <v>44.033458909179501</v>
      </c>
      <c r="BU34" s="19">
        <v>44.033458909179501</v>
      </c>
      <c r="BV34" s="19">
        <v>44.033458909179501</v>
      </c>
      <c r="BW34" s="19">
        <v>44.033458909179501</v>
      </c>
      <c r="BX34" s="19">
        <v>44.033458909179501</v>
      </c>
      <c r="BY34" s="19">
        <v>44.033458909179501</v>
      </c>
      <c r="BZ34" s="19">
        <v>44.033458909179501</v>
      </c>
      <c r="CA34" s="19">
        <v>44.033458909179501</v>
      </c>
      <c r="CB34" s="19">
        <v>44.033458909179501</v>
      </c>
      <c r="CC34" s="19">
        <v>44.033458909179501</v>
      </c>
      <c r="CD34" s="19">
        <v>44.033458909179501</v>
      </c>
      <c r="CE34" s="19">
        <v>44.033458909179501</v>
      </c>
      <c r="CF34" s="19">
        <v>44.033458909179501</v>
      </c>
      <c r="CG34" s="19">
        <v>44.033458909179501</v>
      </c>
      <c r="CH34" s="19">
        <v>44.033458909179501</v>
      </c>
      <c r="CI34" s="19">
        <v>44.033458909179501</v>
      </c>
      <c r="CJ34" s="19">
        <v>44.033458909179501</v>
      </c>
      <c r="CK34" s="19">
        <v>44.033458909179501</v>
      </c>
      <c r="CL34" s="19">
        <v>44.033458909179501</v>
      </c>
      <c r="CM34" s="19">
        <v>44.033458909179501</v>
      </c>
      <c r="CN34" s="19">
        <v>44.033458909179501</v>
      </c>
      <c r="CO34" s="19">
        <v>44.033458909179501</v>
      </c>
    </row>
    <row r="35" spans="1:94" s="6" customFormat="1" x14ac:dyDescent="0.2">
      <c r="A35" s="4" t="s">
        <v>48</v>
      </c>
      <c r="B35" s="5" t="s">
        <v>44</v>
      </c>
      <c r="C35" s="19">
        <v>38.023617767854816</v>
      </c>
      <c r="D35" s="19">
        <v>38.489380878824164</v>
      </c>
      <c r="E35" s="19">
        <v>38.95514398979352</v>
      </c>
      <c r="F35" s="19">
        <v>39.420907100762868</v>
      </c>
      <c r="G35" s="19">
        <v>39.88667021173223</v>
      </c>
      <c r="H35" s="19">
        <v>40.352433322701586</v>
      </c>
      <c r="I35" s="19">
        <v>40.818196433670941</v>
      </c>
      <c r="J35" s="19">
        <v>41.283959544640297</v>
      </c>
      <c r="K35" s="19">
        <v>41.749722655609652</v>
      </c>
      <c r="L35" s="19">
        <v>42.215485766579008</v>
      </c>
      <c r="M35" s="19">
        <v>42.681248877548363</v>
      </c>
      <c r="N35" s="19">
        <v>43.147011988517704</v>
      </c>
      <c r="O35" s="26">
        <v>43.612775099487067</v>
      </c>
      <c r="P35" s="26">
        <v>44.078538210456422</v>
      </c>
      <c r="Q35" s="26">
        <v>44.544301321425777</v>
      </c>
      <c r="R35" s="26">
        <v>45.010064432395126</v>
      </c>
      <c r="S35" s="26">
        <v>45.475827543364481</v>
      </c>
      <c r="T35" s="26">
        <v>45.941590654333844</v>
      </c>
      <c r="U35" s="26">
        <v>46.407353765303199</v>
      </c>
      <c r="V35" s="19">
        <v>46.873116876272562</v>
      </c>
      <c r="W35" s="26">
        <v>47.338879987241903</v>
      </c>
      <c r="X35" s="19">
        <v>47.338879987241903</v>
      </c>
      <c r="Y35" s="19">
        <v>47.338879987241903</v>
      </c>
      <c r="Z35" s="19">
        <v>47.338879987241903</v>
      </c>
      <c r="AA35" s="19">
        <v>47.338879987241903</v>
      </c>
      <c r="AB35" s="19">
        <v>47.338879987241903</v>
      </c>
      <c r="AC35" s="19">
        <v>47.338879987241903</v>
      </c>
      <c r="AD35" s="19">
        <v>47.338879987241903</v>
      </c>
      <c r="AE35" s="19">
        <v>47.338879987241903</v>
      </c>
      <c r="AF35" s="19">
        <v>47.338879987241903</v>
      </c>
      <c r="AG35" s="19">
        <v>47.338879987241903</v>
      </c>
      <c r="AH35" s="19">
        <v>47.338879987241903</v>
      </c>
      <c r="AI35" s="19">
        <v>47.338879987241903</v>
      </c>
      <c r="AJ35" s="19">
        <v>47.338879987241903</v>
      </c>
      <c r="AK35" s="19">
        <v>47.338879987241903</v>
      </c>
      <c r="AL35" s="19">
        <v>47.338879987241903</v>
      </c>
      <c r="AM35" s="19">
        <v>47.338879987241903</v>
      </c>
      <c r="AN35" s="19">
        <v>47.338879987241903</v>
      </c>
      <c r="AO35" s="19">
        <v>47.338879987241903</v>
      </c>
      <c r="AP35" s="19">
        <v>47.338879987241903</v>
      </c>
      <c r="AQ35" s="19">
        <v>47.338879987241903</v>
      </c>
      <c r="AR35" s="19">
        <v>47.338879987241903</v>
      </c>
      <c r="AS35" s="19">
        <v>47.338879987241903</v>
      </c>
      <c r="AT35" s="19">
        <v>47.338879987241903</v>
      </c>
      <c r="AU35" s="19">
        <v>47.338879987241903</v>
      </c>
      <c r="AV35" s="19">
        <v>47.338879987241903</v>
      </c>
      <c r="AW35" s="19">
        <v>47.338879987241903</v>
      </c>
      <c r="AX35" s="19">
        <v>47.338879987241903</v>
      </c>
      <c r="AY35" s="19">
        <v>47.338879987241903</v>
      </c>
      <c r="AZ35" s="19">
        <v>47.338879987241903</v>
      </c>
      <c r="BA35" s="19">
        <v>47.338879987241903</v>
      </c>
      <c r="BB35" s="25">
        <v>47.338879987241903</v>
      </c>
      <c r="BC35" s="25">
        <v>47.338879987241903</v>
      </c>
      <c r="BD35" s="25">
        <v>47.338879987241903</v>
      </c>
      <c r="BE35" s="25">
        <v>47.338879987241903</v>
      </c>
      <c r="BF35" s="25">
        <v>47.338879987241903</v>
      </c>
      <c r="BG35" s="25">
        <v>47.338879987241903</v>
      </c>
      <c r="BH35" s="25">
        <v>47.338879987241903</v>
      </c>
      <c r="BI35" s="25">
        <v>47.338879987241903</v>
      </c>
      <c r="BJ35" s="25">
        <v>47.338879987241903</v>
      </c>
      <c r="BK35" s="25">
        <v>47.338879987241903</v>
      </c>
      <c r="BL35" s="25">
        <v>47.338879987241903</v>
      </c>
      <c r="BM35" s="25">
        <v>47.338879987241903</v>
      </c>
      <c r="BN35" s="25">
        <v>47.338879987241903</v>
      </c>
      <c r="BO35" s="25">
        <v>47.338879987241903</v>
      </c>
      <c r="BP35" s="25">
        <v>47.338879987241903</v>
      </c>
      <c r="BQ35" s="25">
        <v>47.338879987241903</v>
      </c>
      <c r="BR35" s="25">
        <v>47.338879987241903</v>
      </c>
      <c r="BS35" s="25">
        <v>47.338879987241903</v>
      </c>
      <c r="BT35" s="25">
        <v>47.338879987241903</v>
      </c>
      <c r="BU35" s="25">
        <v>47.338879987241903</v>
      </c>
      <c r="BV35" s="25">
        <v>47.338879987241903</v>
      </c>
      <c r="BW35" s="25">
        <v>47.338879987241903</v>
      </c>
      <c r="BX35" s="25">
        <v>47.338879987241903</v>
      </c>
      <c r="BY35" s="25">
        <v>47.338879987241903</v>
      </c>
      <c r="BZ35" s="25">
        <v>47.338879987241903</v>
      </c>
      <c r="CA35" s="25">
        <v>47.338879987241903</v>
      </c>
      <c r="CB35" s="25">
        <v>47.338879987241903</v>
      </c>
      <c r="CC35" s="25">
        <v>47.338879987241903</v>
      </c>
      <c r="CD35" s="25">
        <v>47.338879987241903</v>
      </c>
      <c r="CE35" s="25">
        <v>47.338879987241903</v>
      </c>
      <c r="CF35" s="25">
        <v>47.338879987241903</v>
      </c>
      <c r="CG35" s="25">
        <v>47.338879987241903</v>
      </c>
      <c r="CH35" s="25">
        <v>47.338879987241903</v>
      </c>
      <c r="CI35" s="25">
        <v>47.338879987241903</v>
      </c>
      <c r="CJ35" s="25">
        <v>47.338879987241903</v>
      </c>
      <c r="CK35" s="25">
        <v>47.338879987241903</v>
      </c>
      <c r="CL35" s="25">
        <v>47.338879987241903</v>
      </c>
      <c r="CM35" s="25">
        <v>47.338879987241903</v>
      </c>
      <c r="CN35" s="25">
        <v>47.338879987241903</v>
      </c>
      <c r="CO35" s="25">
        <v>47.338879987241903</v>
      </c>
    </row>
    <row r="36" spans="1:94" x14ac:dyDescent="0.2">
      <c r="C36" s="19"/>
      <c r="D36" s="19"/>
      <c r="E36" s="19"/>
      <c r="F36" s="19"/>
      <c r="G36" s="19"/>
      <c r="H36" s="19"/>
      <c r="I36" s="19"/>
      <c r="J36" s="19"/>
      <c r="K36" s="19"/>
      <c r="L36" s="19"/>
      <c r="M36" s="19"/>
      <c r="N36" s="19"/>
      <c r="O36" s="19"/>
      <c r="P36" s="19"/>
      <c r="Q36" s="19"/>
      <c r="R36" s="19"/>
      <c r="S36" s="19"/>
      <c r="T36" s="19"/>
      <c r="U36" s="19"/>
      <c r="V36" s="19"/>
      <c r="W36" s="26"/>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row>
    <row r="37" spans="1:94" x14ac:dyDescent="0.2">
      <c r="A37" s="18" t="s">
        <v>49</v>
      </c>
      <c r="B37" s="5" t="s">
        <v>44</v>
      </c>
      <c r="C37" s="21">
        <v>34.181061516733138</v>
      </c>
      <c r="D37" s="21">
        <v>34.692158259718852</v>
      </c>
      <c r="E37" s="21">
        <v>35.203255002704573</v>
      </c>
      <c r="F37" s="21">
        <v>35.714351745690294</v>
      </c>
      <c r="G37" s="21">
        <v>36.225448488676015</v>
      </c>
      <c r="H37" s="21">
        <v>36.736545231661729</v>
      </c>
      <c r="I37" s="21">
        <v>37.247641974647458</v>
      </c>
      <c r="J37" s="25">
        <v>37.758738717633179</v>
      </c>
      <c r="K37" s="21">
        <v>38.2698354606189</v>
      </c>
      <c r="L37" s="21">
        <v>38.780932203604621</v>
      </c>
      <c r="M37" s="21">
        <v>39.292028946590335</v>
      </c>
      <c r="N37" s="21">
        <v>39.803125689576056</v>
      </c>
      <c r="O37" s="21">
        <v>40.314222432561778</v>
      </c>
      <c r="P37" s="21">
        <v>40.825319175547499</v>
      </c>
      <c r="Q37" s="21">
        <v>41.336415918533213</v>
      </c>
      <c r="R37" s="21">
        <v>41.847512661518934</v>
      </c>
      <c r="S37" s="21">
        <v>42.358609404504655</v>
      </c>
      <c r="T37" s="21">
        <v>42.869706147490376</v>
      </c>
      <c r="U37" s="21">
        <v>43.380802890476097</v>
      </c>
      <c r="V37" s="21">
        <v>43.891899633461826</v>
      </c>
      <c r="W37" s="25">
        <v>44.40299637644754</v>
      </c>
      <c r="X37" s="21">
        <v>44.40299637644754</v>
      </c>
      <c r="Y37" s="21">
        <v>44.40299637644754</v>
      </c>
      <c r="Z37" s="21">
        <v>44.40299637644754</v>
      </c>
      <c r="AA37" s="21">
        <v>44.40299637644754</v>
      </c>
      <c r="AB37" s="21">
        <v>44.40299637644754</v>
      </c>
      <c r="AC37" s="21">
        <v>44.40299637644754</v>
      </c>
      <c r="AD37" s="21">
        <v>44.40299637644754</v>
      </c>
      <c r="AE37" s="21">
        <v>44.40299637644754</v>
      </c>
      <c r="AF37" s="21">
        <v>44.40299637644754</v>
      </c>
      <c r="AG37" s="21">
        <v>44.40299637644754</v>
      </c>
      <c r="AH37" s="21">
        <v>44.40299637644754</v>
      </c>
      <c r="AI37" s="21">
        <v>44.40299637644754</v>
      </c>
      <c r="AJ37" s="21">
        <v>44.40299637644754</v>
      </c>
      <c r="AK37" s="21">
        <v>44.40299637644754</v>
      </c>
      <c r="AL37" s="21">
        <v>44.40299637644754</v>
      </c>
      <c r="AM37" s="21">
        <v>44.40299637644754</v>
      </c>
      <c r="AN37" s="21">
        <v>44.40299637644754</v>
      </c>
      <c r="AO37" s="21">
        <v>44.40299637644754</v>
      </c>
      <c r="AP37" s="21">
        <v>44.40299637644754</v>
      </c>
      <c r="AQ37" s="21">
        <v>44.40299637644754</v>
      </c>
      <c r="AR37" s="21">
        <v>44.40299637644754</v>
      </c>
      <c r="AS37" s="21">
        <v>44.40299637644754</v>
      </c>
      <c r="AT37" s="21">
        <v>44.40299637644754</v>
      </c>
      <c r="AU37" s="21">
        <v>44.40299637644754</v>
      </c>
      <c r="AV37" s="21">
        <v>44.40299637644754</v>
      </c>
      <c r="AW37" s="21">
        <v>44.40299637644754</v>
      </c>
      <c r="AX37" s="21">
        <v>44.40299637644754</v>
      </c>
      <c r="AY37" s="21">
        <v>44.40299637644754</v>
      </c>
      <c r="AZ37" s="21">
        <v>44.40299637644754</v>
      </c>
      <c r="BA37" s="21">
        <v>44.40299637644754</v>
      </c>
      <c r="BB37" s="21">
        <v>44.40299637644754</v>
      </c>
      <c r="BC37" s="21">
        <v>44.40299637644754</v>
      </c>
      <c r="BD37" s="21">
        <v>44.40299637644754</v>
      </c>
      <c r="BE37" s="21">
        <v>44.40299637644754</v>
      </c>
      <c r="BF37" s="21">
        <v>44.40299637644754</v>
      </c>
      <c r="BG37" s="21">
        <v>44.40299637644754</v>
      </c>
      <c r="BH37" s="21">
        <v>44.40299637644754</v>
      </c>
      <c r="BI37" s="21">
        <v>44.40299637644754</v>
      </c>
      <c r="BJ37" s="21">
        <v>44.40299637644754</v>
      </c>
      <c r="BK37" s="21">
        <v>44.40299637644754</v>
      </c>
      <c r="BL37" s="21">
        <v>44.40299637644754</v>
      </c>
      <c r="BM37" s="21">
        <v>44.40299637644754</v>
      </c>
      <c r="BN37" s="21">
        <v>44.40299637644754</v>
      </c>
      <c r="BO37" s="21">
        <v>44.40299637644754</v>
      </c>
      <c r="BP37" s="21">
        <v>44.40299637644754</v>
      </c>
      <c r="BQ37" s="21">
        <v>44.40299637644754</v>
      </c>
      <c r="BR37" s="21">
        <v>44.40299637644754</v>
      </c>
      <c r="BS37" s="21">
        <v>44.40299637644754</v>
      </c>
      <c r="BT37" s="21">
        <v>44.40299637644754</v>
      </c>
      <c r="BU37" s="21">
        <v>44.40299637644754</v>
      </c>
      <c r="BV37" s="21">
        <v>44.40299637644754</v>
      </c>
      <c r="BW37" s="21">
        <v>44.40299637644754</v>
      </c>
      <c r="BX37" s="21">
        <v>44.40299637644754</v>
      </c>
      <c r="BY37" s="21">
        <v>44.40299637644754</v>
      </c>
      <c r="BZ37" s="21">
        <v>44.40299637644754</v>
      </c>
      <c r="CA37" s="21">
        <v>44.40299637644754</v>
      </c>
      <c r="CB37" s="21">
        <v>44.40299637644754</v>
      </c>
      <c r="CC37" s="21">
        <v>44.40299637644754</v>
      </c>
      <c r="CD37" s="21">
        <v>44.40299637644754</v>
      </c>
      <c r="CE37" s="21">
        <v>44.40299637644754</v>
      </c>
      <c r="CF37" s="21">
        <v>44.40299637644754</v>
      </c>
      <c r="CG37" s="21">
        <v>44.40299637644754</v>
      </c>
      <c r="CH37" s="21">
        <v>44.40299637644754</v>
      </c>
      <c r="CI37" s="21">
        <v>44.40299637644754</v>
      </c>
      <c r="CJ37" s="21">
        <v>44.40299637644754</v>
      </c>
      <c r="CK37" s="21">
        <v>44.40299637644754</v>
      </c>
      <c r="CL37" s="21">
        <v>44.40299637644754</v>
      </c>
      <c r="CM37" s="21">
        <v>44.40299637644754</v>
      </c>
      <c r="CN37" s="21">
        <v>44.40299637644754</v>
      </c>
      <c r="CO37" s="21">
        <v>44.40299637644754</v>
      </c>
      <c r="CP37" s="14"/>
    </row>
    <row r="38" spans="1:94" s="6" customFormat="1" x14ac:dyDescent="0.2">
      <c r="A38" s="18" t="s">
        <v>50</v>
      </c>
      <c r="B38" s="5" t="s">
        <v>44</v>
      </c>
      <c r="C38" s="19">
        <v>33.481061516733135</v>
      </c>
      <c r="D38" s="19">
        <v>33.992158259718849</v>
      </c>
      <c r="E38" s="19">
        <v>34.50325500270457</v>
      </c>
      <c r="F38" s="19">
        <v>35.014351745690291</v>
      </c>
      <c r="G38" s="19">
        <v>35.525448488676012</v>
      </c>
      <c r="H38" s="19">
        <v>36.036545231661727</v>
      </c>
      <c r="I38" s="19">
        <v>36.547641974647455</v>
      </c>
      <c r="J38" s="19">
        <v>37.058738717633176</v>
      </c>
      <c r="K38" s="19">
        <v>37.569835460618897</v>
      </c>
      <c r="L38" s="19">
        <v>38.080932203604618</v>
      </c>
      <c r="M38" s="19">
        <v>38.592028946590332</v>
      </c>
      <c r="N38" s="19">
        <v>39.103125689576054</v>
      </c>
      <c r="O38" s="19">
        <v>39.614222432561775</v>
      </c>
      <c r="P38" s="19">
        <v>40.125319175547496</v>
      </c>
      <c r="Q38" s="19">
        <v>40.63641591853321</v>
      </c>
      <c r="R38" s="19">
        <v>41.147512661518931</v>
      </c>
      <c r="S38" s="19">
        <v>41.658609404504652</v>
      </c>
      <c r="T38" s="19">
        <v>42.169706147490373</v>
      </c>
      <c r="U38" s="19">
        <v>42.680802890476095</v>
      </c>
      <c r="V38" s="19">
        <v>43.191899633461823</v>
      </c>
      <c r="W38" s="26">
        <v>43.702996376447537</v>
      </c>
      <c r="X38" s="19">
        <v>43.702996376447537</v>
      </c>
      <c r="Y38" s="19">
        <v>43.702996376447537</v>
      </c>
      <c r="Z38" s="19">
        <v>43.702996376447537</v>
      </c>
      <c r="AA38" s="19">
        <v>43.702996376447537</v>
      </c>
      <c r="AB38" s="19">
        <v>43.702996376447537</v>
      </c>
      <c r="AC38" s="19">
        <v>43.702996376447537</v>
      </c>
      <c r="AD38" s="19">
        <v>43.702996376447537</v>
      </c>
      <c r="AE38" s="19">
        <v>43.702996376447537</v>
      </c>
      <c r="AF38" s="19">
        <v>43.702996376447537</v>
      </c>
      <c r="AG38" s="19">
        <v>43.702996376447537</v>
      </c>
      <c r="AH38" s="19">
        <v>43.702996376447537</v>
      </c>
      <c r="AI38" s="19">
        <v>43.702996376447537</v>
      </c>
      <c r="AJ38" s="19">
        <v>43.702996376447537</v>
      </c>
      <c r="AK38" s="19">
        <v>43.702996376447537</v>
      </c>
      <c r="AL38" s="19">
        <v>43.702996376447537</v>
      </c>
      <c r="AM38" s="19">
        <v>43.702996376447537</v>
      </c>
      <c r="AN38" s="19">
        <v>43.702996376447537</v>
      </c>
      <c r="AO38" s="19">
        <v>43.702996376447537</v>
      </c>
      <c r="AP38" s="19">
        <v>43.702996376447537</v>
      </c>
      <c r="AQ38" s="19">
        <v>43.702996376447537</v>
      </c>
      <c r="AR38" s="19">
        <v>43.702996376447537</v>
      </c>
      <c r="AS38" s="19">
        <v>43.702996376447537</v>
      </c>
      <c r="AT38" s="19">
        <v>43.702996376447537</v>
      </c>
      <c r="AU38" s="19">
        <v>43.702996376447537</v>
      </c>
      <c r="AV38" s="19">
        <v>43.702996376447537</v>
      </c>
      <c r="AW38" s="19">
        <v>43.702996376447537</v>
      </c>
      <c r="AX38" s="19">
        <v>43.702996376447537</v>
      </c>
      <c r="AY38" s="19">
        <v>43.702996376447537</v>
      </c>
      <c r="AZ38" s="19">
        <v>43.702996376447537</v>
      </c>
      <c r="BA38" s="19">
        <v>43.702996376447537</v>
      </c>
      <c r="BB38" s="19">
        <v>43.702996376447537</v>
      </c>
      <c r="BC38" s="19">
        <v>43.702996376447537</v>
      </c>
      <c r="BD38" s="19">
        <v>43.702996376447537</v>
      </c>
      <c r="BE38" s="19">
        <v>43.702996376447537</v>
      </c>
      <c r="BF38" s="19">
        <v>43.702996376447537</v>
      </c>
      <c r="BG38" s="19">
        <v>43.702996376447537</v>
      </c>
      <c r="BH38" s="19">
        <v>43.702996376447537</v>
      </c>
      <c r="BI38" s="19">
        <v>43.702996376447537</v>
      </c>
      <c r="BJ38" s="19">
        <v>43.702996376447537</v>
      </c>
      <c r="BK38" s="19">
        <v>43.702996376447537</v>
      </c>
      <c r="BL38" s="19">
        <v>43.702996376447537</v>
      </c>
      <c r="BM38" s="19">
        <v>43.702996376447537</v>
      </c>
      <c r="BN38" s="19">
        <v>43.702996376447537</v>
      </c>
      <c r="BO38" s="19">
        <v>43.702996376447537</v>
      </c>
      <c r="BP38" s="19">
        <v>43.702996376447537</v>
      </c>
      <c r="BQ38" s="19">
        <v>43.702996376447537</v>
      </c>
      <c r="BR38" s="19">
        <v>43.702996376447537</v>
      </c>
      <c r="BS38" s="19">
        <v>43.702996376447537</v>
      </c>
      <c r="BT38" s="19">
        <v>43.702996376447537</v>
      </c>
      <c r="BU38" s="19">
        <v>43.702996376447537</v>
      </c>
      <c r="BV38" s="19">
        <v>43.702996376447537</v>
      </c>
      <c r="BW38" s="19">
        <v>43.702996376447537</v>
      </c>
      <c r="BX38" s="19">
        <v>43.702996376447537</v>
      </c>
      <c r="BY38" s="19">
        <v>43.702996376447537</v>
      </c>
      <c r="BZ38" s="19">
        <v>43.702996376447537</v>
      </c>
      <c r="CA38" s="19">
        <v>43.702996376447537</v>
      </c>
      <c r="CB38" s="19">
        <v>43.702996376447537</v>
      </c>
      <c r="CC38" s="19">
        <v>43.702996376447537</v>
      </c>
      <c r="CD38" s="19">
        <v>43.702996376447537</v>
      </c>
      <c r="CE38" s="19">
        <v>43.702996376447537</v>
      </c>
      <c r="CF38" s="19">
        <v>43.702996376447537</v>
      </c>
      <c r="CG38" s="19">
        <v>43.702996376447537</v>
      </c>
      <c r="CH38" s="19">
        <v>43.702996376447537</v>
      </c>
      <c r="CI38" s="19">
        <v>43.702996376447537</v>
      </c>
      <c r="CJ38" s="19">
        <v>43.702996376447537</v>
      </c>
      <c r="CK38" s="19">
        <v>43.702996376447537</v>
      </c>
      <c r="CL38" s="19">
        <v>43.702996376447537</v>
      </c>
      <c r="CM38" s="19">
        <v>43.702996376447537</v>
      </c>
      <c r="CN38" s="19">
        <v>43.702996376447537</v>
      </c>
      <c r="CO38" s="19">
        <v>43.702996376447537</v>
      </c>
      <c r="CP38" s="14"/>
    </row>
    <row r="39" spans="1:94" x14ac:dyDescent="0.2">
      <c r="C39" s="21"/>
      <c r="D39" s="21"/>
      <c r="E39" s="21"/>
      <c r="F39" s="21"/>
      <c r="G39" s="21"/>
      <c r="H39" s="21"/>
      <c r="I39" s="21"/>
      <c r="J39" s="21"/>
      <c r="K39" s="21"/>
      <c r="L39" s="21"/>
      <c r="M39" s="21"/>
      <c r="N39" s="21"/>
      <c r="O39" s="21"/>
      <c r="P39" s="21"/>
      <c r="Q39" s="21"/>
      <c r="R39" s="21"/>
      <c r="S39" s="21"/>
      <c r="T39" s="21"/>
      <c r="U39" s="21"/>
      <c r="V39" s="21"/>
      <c r="W39" s="25"/>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row>
    <row r="50" spans="1:1" x14ac:dyDescent="0.2">
      <c r="A50" s="19"/>
    </row>
    <row r="51" spans="1:1" x14ac:dyDescent="0.2">
      <c r="A51" s="19"/>
    </row>
    <row r="52" spans="1:1" x14ac:dyDescent="0.2">
      <c r="A52" s="19"/>
    </row>
    <row r="53" spans="1:1" x14ac:dyDescent="0.2">
      <c r="A53" s="19"/>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J93"/>
  <sheetViews>
    <sheetView topLeftCell="A46" workbookViewId="0">
      <selection activeCell="D4" sqref="D4"/>
    </sheetView>
  </sheetViews>
  <sheetFormatPr defaultRowHeight="12.75" x14ac:dyDescent="0.2"/>
  <cols>
    <col min="1" max="1" width="26.7109375" style="33" bestFit="1" customWidth="1"/>
    <col min="2" max="2" width="26" style="2" bestFit="1" customWidth="1"/>
    <col min="3" max="4" width="19.28515625" style="2" bestFit="1" customWidth="1"/>
    <col min="5" max="5" width="26.140625" style="2" bestFit="1" customWidth="1"/>
    <col min="6" max="6" width="23.42578125" style="2" bestFit="1" customWidth="1"/>
    <col min="7" max="16384" width="9.140625" style="2"/>
  </cols>
  <sheetData>
    <row r="1" spans="1:61" ht="15.75" x14ac:dyDescent="0.25">
      <c r="A1" s="12" t="s">
        <v>56</v>
      </c>
      <c r="B1" s="4" t="s">
        <v>25</v>
      </c>
      <c r="C1" s="22" t="s">
        <v>32</v>
      </c>
      <c r="D1" s="18" t="s">
        <v>38</v>
      </c>
      <c r="E1" s="4" t="s">
        <v>63</v>
      </c>
      <c r="F1" s="4" t="s">
        <v>64</v>
      </c>
    </row>
    <row r="2" spans="1:61" s="3" customFormat="1" ht="15.75" x14ac:dyDescent="0.25">
      <c r="A2" s="34"/>
      <c r="B2" s="5" t="s">
        <v>26</v>
      </c>
      <c r="C2" s="35" t="s">
        <v>26</v>
      </c>
      <c r="D2" s="5" t="s">
        <v>26</v>
      </c>
      <c r="E2" s="5" t="s">
        <v>44</v>
      </c>
      <c r="F2" s="5" t="s">
        <v>44</v>
      </c>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row>
    <row r="3" spans="1:61" ht="15.75" x14ac:dyDescent="0.25">
      <c r="A3" s="13">
        <v>2010</v>
      </c>
      <c r="B3" s="19">
        <v>11.627751415885864</v>
      </c>
      <c r="C3" s="16">
        <v>3.7476691363390122</v>
      </c>
      <c r="D3" s="19">
        <v>3.1221209949841335</v>
      </c>
      <c r="E3" s="19">
        <v>38.083828424901128</v>
      </c>
      <c r="F3" s="19">
        <v>42.665493302531004</v>
      </c>
    </row>
    <row r="4" spans="1:61" ht="15.75" x14ac:dyDescent="0.25">
      <c r="A4" s="13">
        <v>2011</v>
      </c>
      <c r="B4" s="19">
        <v>11.990340165972022</v>
      </c>
      <c r="C4" s="16">
        <v>3.8922806123202176</v>
      </c>
      <c r="D4" s="19">
        <v>3.0675265294980725</v>
      </c>
      <c r="E4" s="19">
        <v>38.476539548311919</v>
      </c>
      <c r="F4" s="19">
        <v>43.066564094251149</v>
      </c>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row>
    <row r="5" spans="1:61" ht="15.75" x14ac:dyDescent="0.25">
      <c r="A5" s="13">
        <v>2012</v>
      </c>
      <c r="B5" s="19">
        <v>12.543113340854203</v>
      </c>
      <c r="C5" s="16">
        <v>4.011397642099352</v>
      </c>
      <c r="D5" s="19">
        <v>3.0095199099191321</v>
      </c>
      <c r="E5" s="19">
        <v>38.869250671722696</v>
      </c>
      <c r="F5" s="19">
        <v>43.467634885971279</v>
      </c>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row>
    <row r="6" spans="1:61" ht="15.75" x14ac:dyDescent="0.25">
      <c r="A6" s="13">
        <v>2013</v>
      </c>
      <c r="B6" s="19">
        <v>12.352206147785584</v>
      </c>
      <c r="C6" s="16">
        <v>4.1611504097262983</v>
      </c>
      <c r="D6" s="19">
        <v>2.9515132903401917</v>
      </c>
      <c r="E6" s="19">
        <v>39.261961795133487</v>
      </c>
      <c r="F6" s="19">
        <v>43.868705677691409</v>
      </c>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row>
    <row r="7" spans="1:61" s="6" customFormat="1" ht="15.75" x14ac:dyDescent="0.25">
      <c r="A7" s="13">
        <v>2014</v>
      </c>
      <c r="B7" s="19">
        <v>12.917940967023</v>
      </c>
      <c r="C7" s="16">
        <v>4.384370163035153</v>
      </c>
      <c r="D7" s="19">
        <v>2.8935066707612518</v>
      </c>
      <c r="E7" s="19">
        <v>39.654672918544279</v>
      </c>
      <c r="F7" s="19">
        <v>44.269776469411553</v>
      </c>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row>
    <row r="8" spans="1:61" s="6" customFormat="1" ht="15.75" x14ac:dyDescent="0.25">
      <c r="A8" s="13">
        <v>2015</v>
      </c>
      <c r="B8" s="19">
        <v>13.310355954491662</v>
      </c>
      <c r="C8" s="16">
        <v>4.4846663069958623</v>
      </c>
      <c r="D8" s="19">
        <v>2.8389122052751903</v>
      </c>
      <c r="E8" s="19">
        <v>40.04738404195507</v>
      </c>
      <c r="F8" s="19">
        <v>44.670847261131684</v>
      </c>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row>
    <row r="9" spans="1:61" s="6" customFormat="1" ht="15.75" x14ac:dyDescent="0.25">
      <c r="A9" s="13">
        <v>2016</v>
      </c>
      <c r="B9" s="19">
        <v>13.63810727383864</v>
      </c>
      <c r="C9" s="16">
        <v>4.5518548456164787</v>
      </c>
      <c r="D9" s="19">
        <v>2.8389122052751903</v>
      </c>
      <c r="E9" s="19">
        <v>40.440095165365861</v>
      </c>
      <c r="F9" s="19">
        <v>45.071918052851814</v>
      </c>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row>
    <row r="10" spans="1:61" ht="15.75" x14ac:dyDescent="0.25">
      <c r="A10" s="13">
        <v>2017</v>
      </c>
      <c r="B10" s="19">
        <v>14.021993595690656</v>
      </c>
      <c r="C10" s="16">
        <v>4.6825120754814114</v>
      </c>
      <c r="D10" s="19">
        <v>2.8389122052751903</v>
      </c>
      <c r="E10" s="19">
        <v>40.832806288776645</v>
      </c>
      <c r="F10" s="19">
        <v>45.472988844571958</v>
      </c>
      <c r="G10" s="19"/>
      <c r="H10" s="19"/>
      <c r="I10" s="19"/>
      <c r="J10" s="19"/>
      <c r="K10" s="19"/>
      <c r="L10" s="19"/>
      <c r="M10" s="19"/>
      <c r="N10" s="19"/>
      <c r="O10" s="19"/>
      <c r="P10" s="19"/>
      <c r="Q10" s="19"/>
      <c r="R10" s="19"/>
      <c r="S10" s="19"/>
      <c r="T10" s="19"/>
      <c r="U10" s="19"/>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row>
    <row r="11" spans="1:61" s="23" customFormat="1" ht="15.75" x14ac:dyDescent="0.25">
      <c r="A11" s="13">
        <v>2018</v>
      </c>
      <c r="B11" s="19">
        <v>14.475458409918005</v>
      </c>
      <c r="C11" s="16">
        <v>4.8148557646490708</v>
      </c>
      <c r="D11" s="19">
        <v>2.8389122052751903</v>
      </c>
      <c r="E11" s="19">
        <v>41.225517412187429</v>
      </c>
      <c r="F11" s="19">
        <v>45.874059636292088</v>
      </c>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row>
    <row r="12" spans="1:61" s="23" customFormat="1" ht="15.75" x14ac:dyDescent="0.25">
      <c r="A12" s="13">
        <v>2019</v>
      </c>
      <c r="B12" s="19">
        <v>14.763794766132701</v>
      </c>
      <c r="C12" s="16">
        <v>4.933278936886512</v>
      </c>
      <c r="D12" s="19">
        <v>2.8389122052751903</v>
      </c>
      <c r="E12" s="19">
        <v>41.61822853559822</v>
      </c>
      <c r="F12" s="19">
        <v>46.275130428012233</v>
      </c>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row>
    <row r="13" spans="1:61" s="23" customFormat="1" ht="15.75" x14ac:dyDescent="0.25">
      <c r="A13" s="13">
        <v>2020</v>
      </c>
      <c r="B13" s="19">
        <v>15.104604098937935</v>
      </c>
      <c r="C13" s="16">
        <v>5.1395570018856942</v>
      </c>
      <c r="D13" s="19">
        <v>2.8389122052751903</v>
      </c>
      <c r="E13" s="19">
        <v>42.010939659009011</v>
      </c>
      <c r="F13" s="19">
        <v>46.676201219732363</v>
      </c>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row>
    <row r="14" spans="1:61" s="24" customFormat="1" ht="15.75" x14ac:dyDescent="0.25">
      <c r="A14" s="13">
        <v>2021</v>
      </c>
      <c r="B14" s="19">
        <v>15.309340258288909</v>
      </c>
      <c r="C14" s="16">
        <v>5.0155781508595565</v>
      </c>
      <c r="D14" s="19">
        <v>2.8389122052751903</v>
      </c>
      <c r="E14" s="19">
        <v>42.403650782419803</v>
      </c>
      <c r="F14" s="19">
        <v>47.077272011452507</v>
      </c>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row>
    <row r="15" spans="1:61" s="24" customFormat="1" ht="15.75" x14ac:dyDescent="0.25">
      <c r="A15" s="13">
        <v>2022</v>
      </c>
      <c r="B15" s="19">
        <v>15.767093497600339</v>
      </c>
      <c r="C15" s="16">
        <v>5.0786517287815212</v>
      </c>
      <c r="D15" s="19">
        <v>2.8389122052751903</v>
      </c>
      <c r="E15" s="19">
        <v>42.796361905830594</v>
      </c>
      <c r="F15" s="19">
        <v>47.478342803172637</v>
      </c>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row>
    <row r="16" spans="1:61" s="24" customFormat="1" ht="15.75" x14ac:dyDescent="0.25">
      <c r="A16" s="13">
        <v>2023</v>
      </c>
      <c r="B16" s="19">
        <v>16.349114695246939</v>
      </c>
      <c r="C16" s="16">
        <v>5.1325220573657493</v>
      </c>
      <c r="D16" s="19">
        <v>2.8389122052751903</v>
      </c>
      <c r="E16" s="19">
        <v>43.189073029241371</v>
      </c>
      <c r="F16" s="19">
        <v>47.879413594892782</v>
      </c>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row>
    <row r="17" spans="1:61" ht="15.75" x14ac:dyDescent="0.25">
      <c r="A17" s="13">
        <v>2024</v>
      </c>
      <c r="B17" s="19">
        <v>16.962214928615214</v>
      </c>
      <c r="C17" s="16">
        <v>5.1875969997376403</v>
      </c>
      <c r="D17" s="19">
        <v>2.8389122052751903</v>
      </c>
      <c r="E17" s="19">
        <v>43.581784152652169</v>
      </c>
      <c r="F17" s="19">
        <v>48.280484386612912</v>
      </c>
      <c r="G17" s="19"/>
      <c r="H17" s="19"/>
      <c r="I17" s="19"/>
      <c r="J17" s="19"/>
      <c r="K17" s="19"/>
      <c r="L17" s="19"/>
      <c r="M17" s="19"/>
      <c r="N17" s="19"/>
      <c r="O17" s="19"/>
      <c r="P17" s="19"/>
      <c r="Q17" s="19"/>
      <c r="R17" s="19"/>
      <c r="S17" s="19"/>
      <c r="T17" s="19"/>
      <c r="U17" s="19"/>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row>
    <row r="18" spans="1:61" ht="15.75" x14ac:dyDescent="0.25">
      <c r="A18" s="13">
        <v>2025</v>
      </c>
      <c r="B18" s="19">
        <v>19.122232003547072</v>
      </c>
      <c r="C18" s="16">
        <v>5.240648190946259</v>
      </c>
      <c r="D18" s="19">
        <v>2.8389122052751903</v>
      </c>
      <c r="E18" s="19">
        <v>43.974495276062953</v>
      </c>
      <c r="F18" s="19">
        <v>48.681555178333056</v>
      </c>
      <c r="G18" s="19"/>
      <c r="H18" s="19"/>
      <c r="I18" s="19"/>
      <c r="J18" s="19"/>
      <c r="K18" s="19"/>
      <c r="L18" s="19"/>
      <c r="M18" s="19"/>
      <c r="N18" s="19"/>
      <c r="O18" s="19"/>
      <c r="P18" s="19"/>
      <c r="Q18" s="19"/>
      <c r="R18" s="19"/>
      <c r="S18" s="19"/>
      <c r="T18" s="19"/>
      <c r="U18" s="19"/>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row>
    <row r="19" spans="1:61" ht="15.75" x14ac:dyDescent="0.25">
      <c r="A19" s="13">
        <v>2026</v>
      </c>
      <c r="B19" s="19">
        <v>20.353010002676736</v>
      </c>
      <c r="C19" s="16">
        <v>5.2902782789979197</v>
      </c>
      <c r="D19" s="19">
        <v>2.8389122052751903</v>
      </c>
      <c r="E19" s="19">
        <v>44.367206399473744</v>
      </c>
      <c r="F19" s="19">
        <v>49.082625970053186</v>
      </c>
      <c r="G19" s="19"/>
      <c r="H19" s="19"/>
      <c r="I19" s="19"/>
      <c r="J19" s="19"/>
      <c r="K19" s="19"/>
      <c r="L19" s="19"/>
      <c r="M19" s="19"/>
      <c r="N19" s="19"/>
      <c r="O19" s="19"/>
      <c r="P19" s="19"/>
      <c r="Q19" s="19"/>
      <c r="R19" s="19"/>
      <c r="S19" s="19"/>
      <c r="T19" s="19"/>
      <c r="U19" s="19"/>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row>
    <row r="20" spans="1:61" ht="15.75" x14ac:dyDescent="0.25">
      <c r="A20" s="13">
        <v>2027</v>
      </c>
      <c r="B20" s="19">
        <v>20.824447654615998</v>
      </c>
      <c r="C20" s="16">
        <v>5.3399565516010856</v>
      </c>
      <c r="D20" s="19">
        <v>2.8389122052751903</v>
      </c>
      <c r="E20" s="19">
        <v>44.759917522884535</v>
      </c>
      <c r="F20" s="19">
        <v>49.483696761773317</v>
      </c>
      <c r="G20" s="19"/>
      <c r="H20" s="19"/>
      <c r="I20" s="19"/>
      <c r="J20" s="19"/>
      <c r="K20" s="19"/>
      <c r="L20" s="19"/>
      <c r="M20" s="19"/>
      <c r="N20" s="19"/>
      <c r="O20" s="19"/>
      <c r="P20" s="19"/>
      <c r="Q20" s="19"/>
      <c r="R20" s="19"/>
      <c r="S20" s="19"/>
      <c r="T20" s="19"/>
      <c r="U20" s="19"/>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row>
    <row r="21" spans="1:61" s="6" customFormat="1" ht="15.75" x14ac:dyDescent="0.25">
      <c r="A21" s="13">
        <v>2028</v>
      </c>
      <c r="B21" s="19">
        <v>21.184916284435872</v>
      </c>
      <c r="C21" s="16">
        <v>5.385876429186748</v>
      </c>
      <c r="D21" s="19">
        <v>2.8389122052751903</v>
      </c>
      <c r="E21" s="19">
        <v>45.152628646295312</v>
      </c>
      <c r="F21" s="19">
        <v>49.884767553493447</v>
      </c>
      <c r="G21" s="19"/>
      <c r="H21" s="19"/>
      <c r="I21" s="19"/>
      <c r="J21" s="19"/>
      <c r="K21" s="19"/>
      <c r="L21" s="19"/>
      <c r="M21" s="19"/>
      <c r="N21" s="19"/>
      <c r="O21" s="19"/>
      <c r="P21" s="19"/>
      <c r="Q21" s="19"/>
      <c r="R21" s="19"/>
      <c r="S21" s="19"/>
      <c r="T21" s="19"/>
      <c r="U21" s="19"/>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row>
    <row r="22" spans="1:61" s="6" customFormat="1" ht="15.75" x14ac:dyDescent="0.25">
      <c r="A22" s="13">
        <v>2029</v>
      </c>
      <c r="B22" s="19">
        <v>21.470217013905661</v>
      </c>
      <c r="C22" s="16">
        <v>5.4306398775362554</v>
      </c>
      <c r="D22" s="19">
        <v>2.8389122052751903</v>
      </c>
      <c r="E22" s="19">
        <v>45.545339769706104</v>
      </c>
      <c r="F22" s="19">
        <v>50.285838345213591</v>
      </c>
      <c r="G22" s="19"/>
      <c r="H22" s="19"/>
      <c r="I22" s="19"/>
      <c r="J22" s="19"/>
      <c r="K22" s="19"/>
      <c r="L22" s="19"/>
      <c r="M22" s="19"/>
      <c r="N22" s="19"/>
      <c r="O22" s="19"/>
      <c r="P22" s="19"/>
      <c r="Q22" s="19"/>
      <c r="R22" s="19"/>
      <c r="S22" s="19"/>
      <c r="T22" s="19"/>
      <c r="U22" s="19"/>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row>
    <row r="23" spans="1:61" s="6" customFormat="1" ht="15.75" x14ac:dyDescent="0.25">
      <c r="A23" s="13">
        <v>2030</v>
      </c>
      <c r="B23" s="26">
        <v>21.810737239401853</v>
      </c>
      <c r="C23" s="37">
        <v>5.474295081201114</v>
      </c>
      <c r="D23" s="26">
        <v>2.8389122052751903</v>
      </c>
      <c r="E23" s="26">
        <v>45.938050893116895</v>
      </c>
      <c r="F23" s="26">
        <v>50.686909136933721</v>
      </c>
      <c r="G23" s="19"/>
      <c r="H23" s="19"/>
      <c r="I23" s="19"/>
      <c r="J23" s="19"/>
      <c r="K23" s="19"/>
      <c r="L23" s="19"/>
      <c r="M23" s="19"/>
      <c r="N23" s="19"/>
      <c r="O23" s="19"/>
      <c r="P23" s="19"/>
      <c r="Q23" s="19"/>
      <c r="R23" s="19"/>
      <c r="S23" s="19"/>
      <c r="T23" s="19"/>
      <c r="U23" s="19"/>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row>
    <row r="24" spans="1:61" ht="15.75" x14ac:dyDescent="0.25">
      <c r="A24" s="13">
        <v>2031</v>
      </c>
      <c r="B24" s="19">
        <v>21.810737239401853</v>
      </c>
      <c r="C24" s="16">
        <v>5.474295081201114</v>
      </c>
      <c r="D24" s="19">
        <v>2.8389122052751903</v>
      </c>
      <c r="E24" s="19">
        <v>45.938050893116895</v>
      </c>
      <c r="F24" s="19">
        <v>50.686909136933721</v>
      </c>
      <c r="G24" s="19"/>
      <c r="H24" s="19"/>
      <c r="I24" s="19"/>
      <c r="J24" s="19"/>
      <c r="K24" s="19"/>
      <c r="L24" s="19"/>
      <c r="M24" s="19"/>
      <c r="N24" s="19"/>
      <c r="O24" s="19"/>
      <c r="P24" s="19"/>
      <c r="Q24" s="19"/>
      <c r="R24" s="19"/>
      <c r="S24" s="19"/>
      <c r="T24" s="19"/>
      <c r="U24" s="19"/>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row>
    <row r="25" spans="1:61" ht="15.75" x14ac:dyDescent="0.25">
      <c r="A25" s="13">
        <v>2032</v>
      </c>
      <c r="B25" s="19">
        <v>21.810737239401853</v>
      </c>
      <c r="C25" s="16">
        <v>5.474295081201114</v>
      </c>
      <c r="D25" s="19">
        <v>2.8389122052751903</v>
      </c>
      <c r="E25" s="19">
        <v>45.938050893116895</v>
      </c>
      <c r="F25" s="19">
        <v>50.686909136933721</v>
      </c>
      <c r="G25" s="19"/>
      <c r="H25" s="19"/>
      <c r="I25" s="19"/>
      <c r="J25" s="19"/>
      <c r="K25" s="19"/>
      <c r="L25" s="19"/>
      <c r="M25" s="19"/>
      <c r="N25" s="19"/>
      <c r="O25" s="19"/>
      <c r="P25" s="19"/>
      <c r="Q25" s="19"/>
      <c r="R25" s="19"/>
      <c r="S25" s="19"/>
      <c r="T25" s="19"/>
      <c r="U25" s="19"/>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row>
    <row r="26" spans="1:61" ht="15.75" x14ac:dyDescent="0.25">
      <c r="A26" s="13">
        <v>2033</v>
      </c>
      <c r="B26" s="19">
        <v>21.810737239401853</v>
      </c>
      <c r="C26" s="16">
        <v>5.474295081201114</v>
      </c>
      <c r="D26" s="19">
        <v>2.8389122052751903</v>
      </c>
      <c r="E26" s="19">
        <v>45.938050893116895</v>
      </c>
      <c r="F26" s="19">
        <v>50.686909136933721</v>
      </c>
      <c r="G26" s="19"/>
      <c r="H26" s="19"/>
      <c r="I26" s="19"/>
      <c r="J26" s="19"/>
      <c r="K26" s="19"/>
      <c r="L26" s="19"/>
      <c r="M26" s="19"/>
      <c r="N26" s="19"/>
      <c r="O26" s="19"/>
      <c r="P26" s="19"/>
      <c r="Q26" s="19"/>
      <c r="R26" s="19"/>
      <c r="S26" s="19"/>
      <c r="T26" s="19"/>
      <c r="U26" s="19"/>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row>
    <row r="27" spans="1:61" ht="15.75" x14ac:dyDescent="0.25">
      <c r="A27" s="13">
        <v>2034</v>
      </c>
      <c r="B27" s="19">
        <v>21.810737239401853</v>
      </c>
      <c r="C27" s="16">
        <v>5.474295081201114</v>
      </c>
      <c r="D27" s="19">
        <v>2.8389122052751903</v>
      </c>
      <c r="E27" s="19">
        <v>45.938050893116895</v>
      </c>
      <c r="F27" s="19">
        <v>50.686909136933721</v>
      </c>
      <c r="G27" s="19"/>
      <c r="H27" s="19"/>
      <c r="I27" s="19"/>
      <c r="J27" s="19"/>
      <c r="K27" s="19"/>
      <c r="L27" s="19"/>
      <c r="M27" s="19"/>
      <c r="N27" s="19"/>
      <c r="O27" s="19"/>
      <c r="P27" s="19"/>
      <c r="Q27" s="19"/>
      <c r="R27" s="19"/>
      <c r="S27" s="19"/>
      <c r="T27" s="19"/>
      <c r="U27" s="19"/>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row>
    <row r="28" spans="1:61" s="6" customFormat="1" ht="15.75" x14ac:dyDescent="0.25">
      <c r="A28" s="13">
        <v>2035</v>
      </c>
      <c r="B28" s="19">
        <v>21.810737239401853</v>
      </c>
      <c r="C28" s="16">
        <v>5.474295081201114</v>
      </c>
      <c r="D28" s="19">
        <v>2.8389122052751903</v>
      </c>
      <c r="E28" s="19">
        <v>45.938050893116895</v>
      </c>
      <c r="F28" s="19">
        <v>50.686909136933721</v>
      </c>
      <c r="G28" s="19"/>
      <c r="H28" s="19"/>
      <c r="I28" s="19"/>
      <c r="J28" s="19"/>
      <c r="K28" s="19"/>
      <c r="L28" s="19"/>
      <c r="M28" s="19"/>
      <c r="N28" s="19"/>
      <c r="O28" s="19"/>
      <c r="P28" s="19"/>
      <c r="Q28" s="19"/>
      <c r="R28" s="19"/>
      <c r="S28" s="19"/>
      <c r="T28" s="19"/>
      <c r="U28" s="19"/>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row>
    <row r="29" spans="1:61" s="6" customFormat="1" ht="15.75" x14ac:dyDescent="0.25">
      <c r="A29" s="13">
        <v>2036</v>
      </c>
      <c r="B29" s="19">
        <v>21.810737239401853</v>
      </c>
      <c r="C29" s="16">
        <v>5.474295081201114</v>
      </c>
      <c r="D29" s="19">
        <v>2.8389122052751903</v>
      </c>
      <c r="E29" s="19">
        <v>45.938050893116895</v>
      </c>
      <c r="F29" s="19">
        <v>50.686909136933721</v>
      </c>
      <c r="G29" s="19"/>
      <c r="H29" s="19"/>
      <c r="I29" s="19"/>
      <c r="J29" s="19"/>
      <c r="K29" s="19"/>
      <c r="L29" s="19"/>
      <c r="M29" s="19"/>
      <c r="N29" s="19"/>
      <c r="O29" s="19"/>
      <c r="P29" s="19"/>
      <c r="Q29" s="19"/>
      <c r="R29" s="19"/>
      <c r="S29" s="19"/>
      <c r="T29" s="19"/>
      <c r="U29" s="19"/>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row>
    <row r="30" spans="1:61" s="6" customFormat="1" ht="15.75" x14ac:dyDescent="0.25">
      <c r="A30" s="13">
        <v>2037</v>
      </c>
      <c r="B30" s="19">
        <v>21.810737239401853</v>
      </c>
      <c r="C30" s="16">
        <v>5.474295081201114</v>
      </c>
      <c r="D30" s="19">
        <v>2.8389122052751903</v>
      </c>
      <c r="E30" s="19">
        <v>45.938050893116895</v>
      </c>
      <c r="F30" s="19">
        <v>50.686909136933721</v>
      </c>
      <c r="G30" s="19"/>
      <c r="H30" s="19"/>
      <c r="I30" s="19"/>
      <c r="J30" s="19"/>
      <c r="K30" s="19"/>
      <c r="L30" s="19"/>
      <c r="M30" s="19"/>
      <c r="N30" s="19"/>
      <c r="O30" s="19"/>
      <c r="P30" s="19"/>
      <c r="Q30" s="19"/>
      <c r="R30" s="19"/>
      <c r="S30" s="19"/>
      <c r="T30" s="19"/>
      <c r="U30" s="19"/>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row>
    <row r="31" spans="1:61" ht="15.75" x14ac:dyDescent="0.25">
      <c r="A31" s="13">
        <v>2038</v>
      </c>
      <c r="B31" s="19">
        <v>21.810737239401853</v>
      </c>
      <c r="C31" s="16">
        <v>5.474295081201114</v>
      </c>
      <c r="D31" s="19">
        <v>2.8389122052751903</v>
      </c>
      <c r="E31" s="19">
        <v>45.938050893116895</v>
      </c>
      <c r="F31" s="19">
        <v>50.686909136933721</v>
      </c>
      <c r="G31" s="19"/>
      <c r="H31" s="19"/>
      <c r="I31" s="19"/>
      <c r="J31" s="19"/>
      <c r="K31" s="19"/>
      <c r="L31" s="19"/>
      <c r="M31" s="19"/>
      <c r="N31" s="19"/>
      <c r="O31" s="19"/>
      <c r="P31" s="19"/>
      <c r="Q31" s="19"/>
      <c r="R31" s="19"/>
      <c r="S31" s="19"/>
      <c r="T31" s="19"/>
      <c r="U31" s="19"/>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row>
    <row r="32" spans="1:61" ht="15.75" x14ac:dyDescent="0.25">
      <c r="A32" s="13">
        <v>2039</v>
      </c>
      <c r="B32" s="19">
        <v>21.810737239401853</v>
      </c>
      <c r="C32" s="16">
        <v>5.474295081201114</v>
      </c>
      <c r="D32" s="19">
        <v>2.8389122052751903</v>
      </c>
      <c r="E32" s="19">
        <v>45.938050893116895</v>
      </c>
      <c r="F32" s="19">
        <v>50.686909136933721</v>
      </c>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row>
    <row r="33" spans="1:62" ht="15.75" x14ac:dyDescent="0.25">
      <c r="A33" s="13">
        <v>2040</v>
      </c>
      <c r="B33" s="19">
        <v>21.810737239401853</v>
      </c>
      <c r="C33" s="16">
        <v>5.474295081201114</v>
      </c>
      <c r="D33" s="19">
        <v>2.8389122052751903</v>
      </c>
      <c r="E33" s="19">
        <v>45.938050893116895</v>
      </c>
      <c r="F33" s="19">
        <v>50.686909136933721</v>
      </c>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row>
    <row r="34" spans="1:62" s="6" customFormat="1" ht="15.75" x14ac:dyDescent="0.25">
      <c r="A34" s="13">
        <v>2041</v>
      </c>
      <c r="B34" s="19">
        <v>21.810737239401853</v>
      </c>
      <c r="C34" s="16">
        <v>5.474295081201114</v>
      </c>
      <c r="D34" s="19">
        <v>2.8389122052751903</v>
      </c>
      <c r="E34" s="19">
        <v>45.938050893116895</v>
      </c>
      <c r="F34" s="19">
        <v>50.686909136933721</v>
      </c>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row>
    <row r="35" spans="1:62" s="6" customFormat="1" ht="15.75" x14ac:dyDescent="0.25">
      <c r="A35" s="13">
        <v>2042</v>
      </c>
      <c r="B35" s="19">
        <v>21.810737239401853</v>
      </c>
      <c r="C35" s="16">
        <v>5.474295081201114</v>
      </c>
      <c r="D35" s="19">
        <v>2.8389122052751903</v>
      </c>
      <c r="E35" s="19">
        <v>45.938050893116895</v>
      </c>
      <c r="F35" s="19">
        <v>50.686909136933721</v>
      </c>
      <c r="G35" s="19"/>
      <c r="H35" s="19"/>
      <c r="I35" s="19"/>
      <c r="J35" s="19"/>
      <c r="K35" s="19"/>
      <c r="L35" s="19"/>
      <c r="M35" s="19"/>
      <c r="N35" s="19"/>
      <c r="O35" s="19"/>
      <c r="P35" s="19"/>
      <c r="Q35" s="19"/>
      <c r="R35" s="19"/>
      <c r="S35" s="19"/>
      <c r="T35" s="19"/>
      <c r="U35" s="19"/>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row>
    <row r="36" spans="1:62" ht="15.75" x14ac:dyDescent="0.25">
      <c r="A36" s="13">
        <v>2043</v>
      </c>
      <c r="B36" s="19">
        <v>21.810737239401853</v>
      </c>
      <c r="C36" s="16">
        <v>5.474295081201114</v>
      </c>
      <c r="D36" s="19">
        <v>2.8389122052751903</v>
      </c>
      <c r="E36" s="19">
        <v>45.938050893116895</v>
      </c>
      <c r="F36" s="19">
        <v>50.686909136933721</v>
      </c>
      <c r="G36" s="19"/>
      <c r="H36" s="19"/>
      <c r="I36" s="19"/>
      <c r="J36" s="19"/>
      <c r="K36" s="19"/>
      <c r="L36" s="19"/>
      <c r="M36" s="19"/>
      <c r="N36" s="19"/>
      <c r="O36" s="19"/>
      <c r="P36" s="19"/>
      <c r="Q36" s="19"/>
      <c r="R36" s="19"/>
      <c r="S36" s="19"/>
      <c r="T36" s="19"/>
      <c r="U36" s="19"/>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row>
    <row r="37" spans="1:62" ht="15.75" x14ac:dyDescent="0.25">
      <c r="A37" s="13">
        <v>2044</v>
      </c>
      <c r="B37" s="19">
        <v>21.810737239401853</v>
      </c>
      <c r="C37" s="16">
        <v>5.474295081201114</v>
      </c>
      <c r="D37" s="19">
        <v>2.8389122052751903</v>
      </c>
      <c r="E37" s="19">
        <v>45.938050893116895</v>
      </c>
      <c r="F37" s="19">
        <v>50.686909136933721</v>
      </c>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14"/>
    </row>
    <row r="38" spans="1:62" s="6" customFormat="1" ht="15.75" x14ac:dyDescent="0.25">
      <c r="A38" s="13">
        <v>2045</v>
      </c>
      <c r="B38" s="19">
        <v>21.810737239401853</v>
      </c>
      <c r="C38" s="16">
        <v>5.474295081201114</v>
      </c>
      <c r="D38" s="19">
        <v>2.8389122052751903</v>
      </c>
      <c r="E38" s="19">
        <v>45.938050893116895</v>
      </c>
      <c r="F38" s="19">
        <v>50.686909136933721</v>
      </c>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4"/>
    </row>
    <row r="39" spans="1:62" ht="15.75" x14ac:dyDescent="0.25">
      <c r="A39" s="13">
        <v>2046</v>
      </c>
      <c r="B39" s="19">
        <v>21.810737239401853</v>
      </c>
      <c r="C39" s="16">
        <v>5.474295081201114</v>
      </c>
      <c r="D39" s="19">
        <v>2.8389122052751903</v>
      </c>
      <c r="E39" s="19">
        <v>45.938050893116895</v>
      </c>
      <c r="F39" s="19">
        <v>50.686909136933721</v>
      </c>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row>
    <row r="40" spans="1:62" ht="15.75" x14ac:dyDescent="0.25">
      <c r="A40" s="13">
        <v>2047</v>
      </c>
      <c r="B40" s="19">
        <v>21.810737239401853</v>
      </c>
      <c r="C40" s="16">
        <v>5.474295081201114</v>
      </c>
      <c r="D40" s="19">
        <v>2.8389122052751903</v>
      </c>
      <c r="E40" s="19">
        <v>45.938050893116895</v>
      </c>
      <c r="F40" s="19">
        <v>50.686909136933721</v>
      </c>
    </row>
    <row r="41" spans="1:62" ht="15.75" x14ac:dyDescent="0.25">
      <c r="A41" s="13">
        <v>2048</v>
      </c>
      <c r="B41" s="19">
        <v>21.810737239401853</v>
      </c>
      <c r="C41" s="16">
        <v>5.474295081201114</v>
      </c>
      <c r="D41" s="19">
        <v>2.8389122052751903</v>
      </c>
      <c r="E41" s="19">
        <v>45.938050893116895</v>
      </c>
      <c r="F41" s="19">
        <v>50.686909136933721</v>
      </c>
    </row>
    <row r="42" spans="1:62" ht="15.75" x14ac:dyDescent="0.25">
      <c r="A42" s="13">
        <v>2049</v>
      </c>
      <c r="B42" s="19">
        <v>21.810737239401853</v>
      </c>
      <c r="C42" s="16">
        <v>5.474295081201114</v>
      </c>
      <c r="D42" s="19">
        <v>2.8389122052751903</v>
      </c>
      <c r="E42" s="19">
        <v>45.938050893116895</v>
      </c>
      <c r="F42" s="19">
        <v>50.686909136933721</v>
      </c>
    </row>
    <row r="43" spans="1:62" ht="15.75" x14ac:dyDescent="0.25">
      <c r="A43" s="13">
        <v>2050</v>
      </c>
      <c r="B43" s="19">
        <v>21.810737239401853</v>
      </c>
      <c r="C43" s="16">
        <v>5.474295081201114</v>
      </c>
      <c r="D43" s="19">
        <v>2.8389122052751903</v>
      </c>
      <c r="E43" s="19">
        <v>45.938050893116895</v>
      </c>
      <c r="F43" s="19">
        <v>50.686909136933721</v>
      </c>
    </row>
    <row r="44" spans="1:62" ht="15.75" x14ac:dyDescent="0.25">
      <c r="A44" s="13">
        <v>2051</v>
      </c>
      <c r="B44" s="19">
        <v>21.810737239401853</v>
      </c>
      <c r="C44" s="16">
        <v>5.474295081201114</v>
      </c>
      <c r="D44" s="19">
        <v>2.8389122052751903</v>
      </c>
      <c r="E44" s="19">
        <v>45.938050893116895</v>
      </c>
      <c r="F44" s="19">
        <v>50.686909136933721</v>
      </c>
    </row>
    <row r="45" spans="1:62" ht="15.75" x14ac:dyDescent="0.25">
      <c r="A45" s="13">
        <v>2052</v>
      </c>
      <c r="B45" s="19">
        <v>21.810737239401853</v>
      </c>
      <c r="C45" s="16">
        <v>5.474295081201114</v>
      </c>
      <c r="D45" s="19">
        <v>2.8389122052751903</v>
      </c>
      <c r="E45" s="19">
        <v>45.938050893116895</v>
      </c>
      <c r="F45" s="19">
        <v>50.686909136933721</v>
      </c>
    </row>
    <row r="46" spans="1:62" ht="15.75" x14ac:dyDescent="0.25">
      <c r="A46" s="13">
        <v>2053</v>
      </c>
      <c r="B46" s="19">
        <v>21.810737239401853</v>
      </c>
      <c r="C46" s="16">
        <v>5.474295081201114</v>
      </c>
      <c r="D46" s="19">
        <v>2.8389122052751903</v>
      </c>
      <c r="E46" s="19">
        <v>45.938050893116895</v>
      </c>
      <c r="F46" s="19">
        <v>50.686909136933721</v>
      </c>
    </row>
    <row r="47" spans="1:62" ht="15.75" x14ac:dyDescent="0.25">
      <c r="A47" s="13">
        <v>2054</v>
      </c>
      <c r="B47" s="19">
        <v>21.810737239401853</v>
      </c>
      <c r="C47" s="16">
        <v>5.474295081201114</v>
      </c>
      <c r="D47" s="19">
        <v>2.8389122052751903</v>
      </c>
      <c r="E47" s="19">
        <v>45.938050893116895</v>
      </c>
      <c r="F47" s="19">
        <v>50.686909136933721</v>
      </c>
    </row>
    <row r="48" spans="1:62" ht="15.75" x14ac:dyDescent="0.25">
      <c r="A48" s="13">
        <v>2055</v>
      </c>
      <c r="B48" s="19">
        <v>21.810737239401853</v>
      </c>
      <c r="C48" s="16">
        <v>5.474295081201114</v>
      </c>
      <c r="D48" s="19">
        <v>2.8389122052751903</v>
      </c>
      <c r="E48" s="19">
        <v>45.938050893116895</v>
      </c>
      <c r="F48" s="19">
        <v>50.686909136933721</v>
      </c>
    </row>
    <row r="49" spans="1:6" ht="15.75" x14ac:dyDescent="0.25">
      <c r="A49" s="13">
        <v>2056</v>
      </c>
      <c r="B49" s="19">
        <v>21.810737239401853</v>
      </c>
      <c r="C49" s="16">
        <v>5.474295081201114</v>
      </c>
      <c r="D49" s="19">
        <v>2.8389122052751903</v>
      </c>
      <c r="E49" s="19">
        <v>45.938050893116895</v>
      </c>
      <c r="F49" s="19">
        <v>50.686909136933721</v>
      </c>
    </row>
    <row r="50" spans="1:6" ht="15.75" x14ac:dyDescent="0.25">
      <c r="A50" s="13">
        <v>2057</v>
      </c>
      <c r="B50" s="19">
        <v>21.810737239401853</v>
      </c>
      <c r="C50" s="16">
        <v>5.474295081201114</v>
      </c>
      <c r="D50" s="19">
        <v>2.8389122052751903</v>
      </c>
      <c r="E50" s="19">
        <v>45.938050893116895</v>
      </c>
      <c r="F50" s="19">
        <v>50.686909136933721</v>
      </c>
    </row>
    <row r="51" spans="1:6" ht="15.75" x14ac:dyDescent="0.25">
      <c r="A51" s="13">
        <v>2058</v>
      </c>
      <c r="B51" s="19">
        <v>21.810737239401853</v>
      </c>
      <c r="C51" s="16">
        <v>5.474295081201114</v>
      </c>
      <c r="D51" s="19">
        <v>2.8389122052751903</v>
      </c>
      <c r="E51" s="19">
        <v>45.938050893116895</v>
      </c>
      <c r="F51" s="19">
        <v>50.686909136933721</v>
      </c>
    </row>
    <row r="52" spans="1:6" ht="15.75" x14ac:dyDescent="0.25">
      <c r="A52" s="13">
        <v>2059</v>
      </c>
      <c r="B52" s="19">
        <v>21.810737239401853</v>
      </c>
      <c r="C52" s="16">
        <v>5.474295081201114</v>
      </c>
      <c r="D52" s="19">
        <v>2.8389122052751903</v>
      </c>
      <c r="E52" s="19">
        <v>45.938050893116895</v>
      </c>
      <c r="F52" s="19">
        <v>50.686909136933721</v>
      </c>
    </row>
    <row r="53" spans="1:6" ht="15.75" x14ac:dyDescent="0.25">
      <c r="A53" s="13">
        <v>2060</v>
      </c>
      <c r="B53" s="19">
        <v>21.810737239401853</v>
      </c>
      <c r="C53" s="16">
        <v>5.474295081201114</v>
      </c>
      <c r="D53" s="19">
        <v>2.8389122052751903</v>
      </c>
      <c r="E53" s="19">
        <v>45.938050893116895</v>
      </c>
      <c r="F53" s="19">
        <v>50.686909136933721</v>
      </c>
    </row>
    <row r="54" spans="1:6" ht="15.75" x14ac:dyDescent="0.25">
      <c r="A54" s="13">
        <v>2061</v>
      </c>
      <c r="B54" s="19">
        <v>21.810737239401853</v>
      </c>
      <c r="C54" s="16">
        <v>5.474295081201114</v>
      </c>
      <c r="D54" s="21">
        <v>2.8389122052751903</v>
      </c>
      <c r="E54" s="21">
        <v>45.938050893116895</v>
      </c>
      <c r="F54" s="21">
        <v>50.686909136933721</v>
      </c>
    </row>
    <row r="55" spans="1:6" ht="15.75" x14ac:dyDescent="0.25">
      <c r="A55" s="13">
        <v>2062</v>
      </c>
      <c r="B55" s="19">
        <v>21.810737239401853</v>
      </c>
      <c r="C55" s="16">
        <v>5.474295081201114</v>
      </c>
      <c r="D55" s="21">
        <v>2.8389122052751903</v>
      </c>
      <c r="E55" s="21">
        <v>45.938050893116895</v>
      </c>
      <c r="F55" s="21">
        <v>50.686909136933721</v>
      </c>
    </row>
    <row r="56" spans="1:6" ht="15.75" x14ac:dyDescent="0.25">
      <c r="A56" s="13">
        <v>2063</v>
      </c>
      <c r="B56" s="19">
        <v>21.810737239401853</v>
      </c>
      <c r="C56" s="16">
        <v>5.474295081201114</v>
      </c>
      <c r="D56" s="21">
        <v>2.8389122052751903</v>
      </c>
      <c r="E56" s="21">
        <v>45.938050893116895</v>
      </c>
      <c r="F56" s="21">
        <v>50.686909136933721</v>
      </c>
    </row>
    <row r="57" spans="1:6" ht="15.75" x14ac:dyDescent="0.25">
      <c r="A57" s="13">
        <v>2064</v>
      </c>
      <c r="B57" s="19">
        <v>21.810737239401853</v>
      </c>
      <c r="C57" s="16">
        <v>5.474295081201114</v>
      </c>
      <c r="D57" s="21">
        <v>2.8389122052751903</v>
      </c>
      <c r="E57" s="21">
        <v>45.938050893116895</v>
      </c>
      <c r="F57" s="21">
        <v>50.686909136933721</v>
      </c>
    </row>
    <row r="58" spans="1:6" ht="15.75" x14ac:dyDescent="0.25">
      <c r="A58" s="13">
        <v>2065</v>
      </c>
      <c r="B58" s="19">
        <v>21.810737239401853</v>
      </c>
      <c r="C58" s="16">
        <v>5.474295081201114</v>
      </c>
      <c r="D58" s="21">
        <v>2.8389122052751903</v>
      </c>
      <c r="E58" s="21">
        <v>45.938050893116895</v>
      </c>
      <c r="F58" s="21">
        <v>50.686909136933721</v>
      </c>
    </row>
    <row r="59" spans="1:6" ht="15.75" x14ac:dyDescent="0.25">
      <c r="A59" s="13">
        <v>2066</v>
      </c>
      <c r="B59" s="19">
        <v>21.810737239401853</v>
      </c>
      <c r="C59" s="16">
        <v>5.474295081201114</v>
      </c>
      <c r="D59" s="21">
        <v>2.8389122052751903</v>
      </c>
      <c r="E59" s="21">
        <v>45.938050893116895</v>
      </c>
      <c r="F59" s="21">
        <v>50.686909136933721</v>
      </c>
    </row>
    <row r="60" spans="1:6" ht="15.75" x14ac:dyDescent="0.25">
      <c r="A60" s="13">
        <v>2067</v>
      </c>
      <c r="B60" s="19">
        <v>21.810737239401853</v>
      </c>
      <c r="C60" s="16">
        <v>5.474295081201114</v>
      </c>
      <c r="D60" s="21">
        <v>2.8389122052751903</v>
      </c>
      <c r="E60" s="21">
        <v>45.938050893116895</v>
      </c>
      <c r="F60" s="21">
        <v>50.686909136933721</v>
      </c>
    </row>
    <row r="61" spans="1:6" ht="15.75" x14ac:dyDescent="0.25">
      <c r="A61" s="13">
        <v>2068</v>
      </c>
      <c r="B61" s="19">
        <v>21.810737239401853</v>
      </c>
      <c r="C61" s="16">
        <v>5.474295081201114</v>
      </c>
      <c r="D61" s="21">
        <v>2.8389122052751903</v>
      </c>
      <c r="E61" s="21">
        <v>45.938050893116895</v>
      </c>
      <c r="F61" s="21">
        <v>50.686909136933721</v>
      </c>
    </row>
    <row r="62" spans="1:6" ht="15.75" x14ac:dyDescent="0.25">
      <c r="A62" s="13">
        <v>2069</v>
      </c>
      <c r="B62" s="19">
        <v>21.810737239401853</v>
      </c>
      <c r="C62" s="16">
        <v>5.474295081201114</v>
      </c>
      <c r="D62" s="21">
        <v>2.8389122052751903</v>
      </c>
      <c r="E62" s="21">
        <v>45.938050893116895</v>
      </c>
      <c r="F62" s="21">
        <v>50.686909136933721</v>
      </c>
    </row>
    <row r="63" spans="1:6" ht="15.75" x14ac:dyDescent="0.25">
      <c r="A63" s="13">
        <v>2070</v>
      </c>
      <c r="B63" s="19">
        <v>21.810737239401853</v>
      </c>
      <c r="C63" s="16">
        <v>5.474295081201114</v>
      </c>
      <c r="D63" s="21">
        <v>2.8389122052751903</v>
      </c>
      <c r="E63" s="21">
        <v>45.938050893116895</v>
      </c>
      <c r="F63" s="21">
        <v>50.686909136933721</v>
      </c>
    </row>
    <row r="64" spans="1:6" ht="15.75" x14ac:dyDescent="0.25">
      <c r="A64" s="13">
        <v>2071</v>
      </c>
      <c r="B64" s="19">
        <v>21.810737239401853</v>
      </c>
      <c r="C64" s="16">
        <v>5.474295081201114</v>
      </c>
      <c r="D64" s="21">
        <v>2.8389122052751903</v>
      </c>
      <c r="E64" s="21">
        <v>45.938050893116895</v>
      </c>
      <c r="F64" s="21">
        <v>50.686909136933721</v>
      </c>
    </row>
    <row r="65" spans="1:6" ht="15.75" x14ac:dyDescent="0.25">
      <c r="A65" s="13">
        <v>2072</v>
      </c>
      <c r="B65" s="19">
        <v>21.810737239401853</v>
      </c>
      <c r="C65" s="16">
        <v>5.474295081201114</v>
      </c>
      <c r="D65" s="21">
        <v>2.8389122052751903</v>
      </c>
      <c r="E65" s="21">
        <v>45.938050893116895</v>
      </c>
      <c r="F65" s="21">
        <v>50.686909136933721</v>
      </c>
    </row>
    <row r="66" spans="1:6" ht="15.75" x14ac:dyDescent="0.25">
      <c r="A66" s="13">
        <v>2073</v>
      </c>
      <c r="B66" s="19">
        <v>21.810737239401853</v>
      </c>
      <c r="C66" s="16">
        <v>5.474295081201114</v>
      </c>
      <c r="D66" s="21">
        <v>2.8389122052751903</v>
      </c>
      <c r="E66" s="21">
        <v>45.938050893116895</v>
      </c>
      <c r="F66" s="21">
        <v>50.686909136933721</v>
      </c>
    </row>
    <row r="67" spans="1:6" ht="15.75" x14ac:dyDescent="0.25">
      <c r="A67" s="13">
        <v>2074</v>
      </c>
      <c r="B67" s="19">
        <v>21.810737239401853</v>
      </c>
      <c r="C67" s="16">
        <v>5.474295081201114</v>
      </c>
      <c r="D67" s="21">
        <v>2.8389122052751903</v>
      </c>
      <c r="E67" s="21">
        <v>45.938050893116895</v>
      </c>
      <c r="F67" s="21">
        <v>50.686909136933721</v>
      </c>
    </row>
    <row r="68" spans="1:6" ht="15.75" x14ac:dyDescent="0.25">
      <c r="A68" s="13">
        <v>2075</v>
      </c>
      <c r="B68" s="19">
        <v>21.810737239401853</v>
      </c>
      <c r="C68" s="16">
        <v>5.474295081201114</v>
      </c>
      <c r="D68" s="21">
        <v>2.8389122052751903</v>
      </c>
      <c r="E68" s="21">
        <v>45.938050893116895</v>
      </c>
      <c r="F68" s="21">
        <v>50.686909136933721</v>
      </c>
    </row>
    <row r="69" spans="1:6" ht="15.75" x14ac:dyDescent="0.25">
      <c r="A69" s="13">
        <v>2076</v>
      </c>
      <c r="B69" s="19">
        <v>21.810737239401853</v>
      </c>
      <c r="C69" s="16">
        <v>5.474295081201114</v>
      </c>
      <c r="D69" s="21">
        <v>2.8389122052751903</v>
      </c>
      <c r="E69" s="21">
        <v>45.938050893116895</v>
      </c>
      <c r="F69" s="21">
        <v>50.686909136933721</v>
      </c>
    </row>
    <row r="70" spans="1:6" ht="15.75" x14ac:dyDescent="0.25">
      <c r="A70" s="13">
        <v>2077</v>
      </c>
      <c r="B70" s="19">
        <v>21.810737239401853</v>
      </c>
      <c r="C70" s="16">
        <v>5.474295081201114</v>
      </c>
      <c r="D70" s="21">
        <v>2.8389122052751903</v>
      </c>
      <c r="E70" s="21">
        <v>45.938050893116895</v>
      </c>
      <c r="F70" s="21">
        <v>50.686909136933721</v>
      </c>
    </row>
    <row r="71" spans="1:6" ht="15.75" x14ac:dyDescent="0.25">
      <c r="A71" s="13">
        <v>2078</v>
      </c>
      <c r="B71" s="19">
        <v>21.810737239401853</v>
      </c>
      <c r="C71" s="16">
        <v>5.474295081201114</v>
      </c>
      <c r="D71" s="21">
        <v>2.8389122052751903</v>
      </c>
      <c r="E71" s="21">
        <v>45.938050893116895</v>
      </c>
      <c r="F71" s="21">
        <v>50.686909136933721</v>
      </c>
    </row>
    <row r="72" spans="1:6" ht="15.75" x14ac:dyDescent="0.25">
      <c r="A72" s="13">
        <v>2079</v>
      </c>
      <c r="B72" s="19">
        <v>21.810737239401853</v>
      </c>
      <c r="C72" s="16">
        <v>5.474295081201114</v>
      </c>
      <c r="D72" s="21">
        <v>2.8389122052751903</v>
      </c>
      <c r="E72" s="21">
        <v>45.938050893116895</v>
      </c>
      <c r="F72" s="21">
        <v>50.686909136933721</v>
      </c>
    </row>
    <row r="73" spans="1:6" ht="15.75" x14ac:dyDescent="0.25">
      <c r="A73" s="13">
        <v>2080</v>
      </c>
      <c r="B73" s="19">
        <v>21.810737239401853</v>
      </c>
      <c r="C73" s="16">
        <v>5.474295081201114</v>
      </c>
      <c r="D73" s="21">
        <v>2.8389122052751903</v>
      </c>
      <c r="E73" s="21">
        <v>45.938050893116895</v>
      </c>
      <c r="F73" s="21">
        <v>50.686909136933721</v>
      </c>
    </row>
    <row r="74" spans="1:6" ht="15.75" x14ac:dyDescent="0.25">
      <c r="A74" s="13">
        <v>2081</v>
      </c>
      <c r="B74" s="19">
        <v>21.810737239401853</v>
      </c>
      <c r="C74" s="16">
        <v>5.474295081201114</v>
      </c>
      <c r="D74" s="21">
        <v>2.8389122052751903</v>
      </c>
      <c r="E74" s="21">
        <v>45.938050893116895</v>
      </c>
      <c r="F74" s="21">
        <v>50.686909136933721</v>
      </c>
    </row>
    <row r="75" spans="1:6" ht="15.75" x14ac:dyDescent="0.25">
      <c r="A75" s="13">
        <v>2082</v>
      </c>
      <c r="B75" s="19">
        <v>21.810737239401853</v>
      </c>
      <c r="C75" s="16">
        <v>5.474295081201114</v>
      </c>
      <c r="D75" s="21">
        <v>2.8389122052751903</v>
      </c>
      <c r="E75" s="21">
        <v>45.938050893116895</v>
      </c>
      <c r="F75" s="21">
        <v>50.686909136933721</v>
      </c>
    </row>
    <row r="76" spans="1:6" ht="15.75" x14ac:dyDescent="0.25">
      <c r="A76" s="13">
        <v>2083</v>
      </c>
      <c r="B76" s="19">
        <v>21.810737239401853</v>
      </c>
      <c r="C76" s="16">
        <v>5.474295081201114</v>
      </c>
      <c r="D76" s="21">
        <v>2.8389122052751903</v>
      </c>
      <c r="E76" s="21">
        <v>45.938050893116895</v>
      </c>
      <c r="F76" s="21">
        <v>50.686909136933721</v>
      </c>
    </row>
    <row r="77" spans="1:6" ht="15.75" x14ac:dyDescent="0.25">
      <c r="A77" s="13">
        <v>2084</v>
      </c>
      <c r="B77" s="19">
        <v>21.810737239401853</v>
      </c>
      <c r="C77" s="16">
        <v>5.474295081201114</v>
      </c>
      <c r="D77" s="21">
        <v>2.8389122052751903</v>
      </c>
      <c r="E77" s="21">
        <v>45.938050893116895</v>
      </c>
      <c r="F77" s="21">
        <v>50.686909136933721</v>
      </c>
    </row>
    <row r="78" spans="1:6" ht="15.75" x14ac:dyDescent="0.25">
      <c r="A78" s="13">
        <v>2085</v>
      </c>
      <c r="B78" s="19">
        <v>21.810737239401853</v>
      </c>
      <c r="C78" s="16">
        <v>5.474295081201114</v>
      </c>
      <c r="D78" s="21">
        <v>2.8389122052751903</v>
      </c>
      <c r="E78" s="21">
        <v>45.938050893116895</v>
      </c>
      <c r="F78" s="21">
        <v>50.686909136933721</v>
      </c>
    </row>
    <row r="79" spans="1:6" ht="15.75" x14ac:dyDescent="0.25">
      <c r="A79" s="13">
        <v>2086</v>
      </c>
      <c r="B79" s="19">
        <v>21.810737239401853</v>
      </c>
      <c r="C79" s="16">
        <v>5.474295081201114</v>
      </c>
      <c r="D79" s="21">
        <v>2.8389122052751903</v>
      </c>
      <c r="E79" s="21">
        <v>45.938050893116895</v>
      </c>
      <c r="F79" s="21">
        <v>50.686909136933721</v>
      </c>
    </row>
    <row r="80" spans="1:6" ht="15.75" x14ac:dyDescent="0.25">
      <c r="A80" s="13">
        <v>2087</v>
      </c>
      <c r="B80" s="19">
        <v>21.810737239401853</v>
      </c>
      <c r="C80" s="16">
        <v>5.474295081201114</v>
      </c>
      <c r="D80" s="21">
        <v>2.8389122052751903</v>
      </c>
      <c r="E80" s="21">
        <v>45.938050893116895</v>
      </c>
      <c r="F80" s="21">
        <v>50.686909136933721</v>
      </c>
    </row>
    <row r="81" spans="1:6" ht="15.75" x14ac:dyDescent="0.25">
      <c r="A81" s="13">
        <v>2088</v>
      </c>
      <c r="B81" s="19">
        <v>21.810737239401853</v>
      </c>
      <c r="C81" s="16">
        <v>5.474295081201114</v>
      </c>
      <c r="D81" s="21">
        <v>2.8389122052751903</v>
      </c>
      <c r="E81" s="21">
        <v>45.938050893116895</v>
      </c>
      <c r="F81" s="21">
        <v>50.686909136933721</v>
      </c>
    </row>
    <row r="82" spans="1:6" ht="15.75" x14ac:dyDescent="0.25">
      <c r="A82" s="13">
        <v>2089</v>
      </c>
      <c r="B82" s="19">
        <v>21.810737239401853</v>
      </c>
      <c r="C82" s="16">
        <v>5.474295081201114</v>
      </c>
      <c r="D82" s="21">
        <v>2.8389122052751903</v>
      </c>
      <c r="E82" s="21">
        <v>45.938050893116895</v>
      </c>
      <c r="F82" s="21">
        <v>50.686909136933721</v>
      </c>
    </row>
    <row r="83" spans="1:6" ht="15.75" x14ac:dyDescent="0.25">
      <c r="A83" s="13">
        <v>2090</v>
      </c>
      <c r="B83" s="19">
        <v>21.810737239401853</v>
      </c>
      <c r="C83" s="16">
        <v>5.474295081201114</v>
      </c>
      <c r="D83" s="21">
        <v>2.8389122052751903</v>
      </c>
      <c r="E83" s="21">
        <v>45.938050893116895</v>
      </c>
      <c r="F83" s="21">
        <v>50.686909136933721</v>
      </c>
    </row>
    <row r="84" spans="1:6" ht="15.75" x14ac:dyDescent="0.25">
      <c r="A84" s="13">
        <v>2091</v>
      </c>
      <c r="B84" s="19">
        <v>21.810737239401853</v>
      </c>
      <c r="C84" s="16">
        <v>5.474295081201114</v>
      </c>
      <c r="D84" s="21">
        <v>2.8389122052751903</v>
      </c>
      <c r="E84" s="21">
        <v>45.938050893116895</v>
      </c>
      <c r="F84" s="21">
        <v>50.686909136933721</v>
      </c>
    </row>
    <row r="85" spans="1:6" ht="15.75" x14ac:dyDescent="0.25">
      <c r="A85" s="13">
        <v>2092</v>
      </c>
      <c r="B85" s="19">
        <v>21.810737239401853</v>
      </c>
      <c r="C85" s="16">
        <v>5.474295081201114</v>
      </c>
      <c r="D85" s="21">
        <v>2.8389122052751903</v>
      </c>
      <c r="E85" s="21">
        <v>45.938050893116895</v>
      </c>
      <c r="F85" s="21">
        <v>50.686909136933721</v>
      </c>
    </row>
    <row r="86" spans="1:6" ht="15.75" x14ac:dyDescent="0.25">
      <c r="A86" s="13">
        <v>2093</v>
      </c>
      <c r="B86" s="19">
        <v>21.810737239401853</v>
      </c>
      <c r="C86" s="16">
        <v>5.474295081201114</v>
      </c>
      <c r="D86" s="21">
        <v>2.8389122052751903</v>
      </c>
      <c r="E86" s="21">
        <v>45.938050893116895</v>
      </c>
      <c r="F86" s="21">
        <v>50.686909136933721</v>
      </c>
    </row>
    <row r="87" spans="1:6" ht="15.75" x14ac:dyDescent="0.25">
      <c r="A87" s="13">
        <v>2094</v>
      </c>
      <c r="B87" s="19">
        <v>21.810737239401853</v>
      </c>
      <c r="C87" s="16">
        <v>5.474295081201114</v>
      </c>
      <c r="D87" s="21">
        <v>2.8389122052751903</v>
      </c>
      <c r="E87" s="21">
        <v>45.938050893116895</v>
      </c>
      <c r="F87" s="21">
        <v>50.686909136933721</v>
      </c>
    </row>
    <row r="88" spans="1:6" ht="15.75" x14ac:dyDescent="0.25">
      <c r="A88" s="13">
        <v>2095</v>
      </c>
      <c r="B88" s="19">
        <v>21.810737239401853</v>
      </c>
      <c r="C88" s="16">
        <v>5.474295081201114</v>
      </c>
      <c r="D88" s="21">
        <v>2.8389122052751903</v>
      </c>
      <c r="E88" s="21">
        <v>45.938050893116895</v>
      </c>
      <c r="F88" s="21">
        <v>50.686909136933721</v>
      </c>
    </row>
    <row r="89" spans="1:6" ht="15.75" x14ac:dyDescent="0.25">
      <c r="A89" s="13">
        <v>2096</v>
      </c>
      <c r="B89" s="19">
        <v>21.810737239401853</v>
      </c>
      <c r="C89" s="16">
        <v>5.474295081201114</v>
      </c>
      <c r="D89" s="21">
        <v>2.8389122052751903</v>
      </c>
      <c r="E89" s="21">
        <v>45.938050893116895</v>
      </c>
      <c r="F89" s="21">
        <v>50.686909136933721</v>
      </c>
    </row>
    <row r="90" spans="1:6" ht="15.75" x14ac:dyDescent="0.25">
      <c r="A90" s="13">
        <v>2097</v>
      </c>
      <c r="B90" s="19">
        <v>21.810737239401853</v>
      </c>
      <c r="C90" s="16">
        <v>5.474295081201114</v>
      </c>
      <c r="D90" s="21">
        <v>2.8389122052751903</v>
      </c>
      <c r="E90" s="21">
        <v>45.938050893116895</v>
      </c>
      <c r="F90" s="21">
        <v>50.686909136933721</v>
      </c>
    </row>
    <row r="91" spans="1:6" ht="15.75" x14ac:dyDescent="0.25">
      <c r="A91" s="13">
        <v>2098</v>
      </c>
      <c r="B91" s="19">
        <v>21.810737239401853</v>
      </c>
      <c r="C91" s="16">
        <v>5.474295081201114</v>
      </c>
      <c r="D91" s="21">
        <v>2.8389122052751903</v>
      </c>
      <c r="E91" s="21">
        <v>45.938050893116895</v>
      </c>
      <c r="F91" s="21">
        <v>50.686909136933721</v>
      </c>
    </row>
    <row r="92" spans="1:6" ht="15.75" x14ac:dyDescent="0.25">
      <c r="A92" s="13">
        <v>2099</v>
      </c>
      <c r="B92" s="19">
        <v>21.810737239401853</v>
      </c>
      <c r="C92" s="16">
        <v>5.474295081201114</v>
      </c>
      <c r="D92" s="21">
        <v>2.8389122052751903</v>
      </c>
      <c r="E92" s="21">
        <v>45.938050893116895</v>
      </c>
      <c r="F92" s="21">
        <v>50.686909136933721</v>
      </c>
    </row>
    <row r="93" spans="1:6" ht="15.75" x14ac:dyDescent="0.25">
      <c r="A93" s="13">
        <v>2100</v>
      </c>
      <c r="B93" s="19">
        <v>21.810737239401853</v>
      </c>
      <c r="C93" s="16">
        <v>5.474295081201114</v>
      </c>
      <c r="D93" s="21">
        <v>2.8389122052751903</v>
      </c>
      <c r="E93" s="21">
        <v>45.938050893116895</v>
      </c>
      <c r="F93" s="21">
        <v>50.686909136933721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H55"/>
  <sheetViews>
    <sheetView workbookViewId="0">
      <pane xSplit="1" ySplit="2" topLeftCell="D3" activePane="bottomRight" state="frozen"/>
      <selection pane="topRight" activeCell="B1" sqref="B1"/>
      <selection pane="bottomLeft" activeCell="A3" sqref="A3"/>
      <selection pane="bottomRight" activeCell="H4" sqref="H4"/>
    </sheetView>
  </sheetViews>
  <sheetFormatPr defaultRowHeight="12.75" x14ac:dyDescent="0.2"/>
  <cols>
    <col min="1" max="1" width="40.85546875" style="2" customWidth="1"/>
    <col min="2" max="2" width="10.5703125" style="33" bestFit="1" customWidth="1"/>
    <col min="3" max="22" width="9.140625" style="2"/>
    <col min="23" max="23" width="9.140625" style="6"/>
    <col min="24" max="16384" width="9.140625" style="2"/>
  </cols>
  <sheetData>
    <row r="1" spans="1:93" ht="15.75" x14ac:dyDescent="0.25">
      <c r="A1" s="12" t="s">
        <v>57</v>
      </c>
    </row>
    <row r="2" spans="1:93" s="3" customFormat="1" ht="15.75" x14ac:dyDescent="0.25">
      <c r="B2" s="34"/>
      <c r="C2" s="13">
        <v>2010</v>
      </c>
      <c r="D2" s="13">
        <v>2011</v>
      </c>
      <c r="E2" s="13">
        <v>2012</v>
      </c>
      <c r="F2" s="13">
        <v>2013</v>
      </c>
      <c r="G2" s="13">
        <v>2014</v>
      </c>
      <c r="H2" s="13">
        <v>2015</v>
      </c>
      <c r="I2" s="13">
        <v>2016</v>
      </c>
      <c r="J2" s="13">
        <v>2017</v>
      </c>
      <c r="K2" s="13">
        <v>2018</v>
      </c>
      <c r="L2" s="13">
        <v>2019</v>
      </c>
      <c r="M2" s="13">
        <v>2020</v>
      </c>
      <c r="N2" s="13">
        <v>2021</v>
      </c>
      <c r="O2" s="13">
        <v>2022</v>
      </c>
      <c r="P2" s="13">
        <v>2023</v>
      </c>
      <c r="Q2" s="13">
        <v>2024</v>
      </c>
      <c r="R2" s="13">
        <v>2025</v>
      </c>
      <c r="S2" s="13">
        <v>2026</v>
      </c>
      <c r="T2" s="13">
        <v>2027</v>
      </c>
      <c r="U2" s="13">
        <v>2028</v>
      </c>
      <c r="V2" s="13">
        <v>2029</v>
      </c>
      <c r="W2" s="13">
        <v>2030</v>
      </c>
      <c r="X2" s="13">
        <v>2031</v>
      </c>
      <c r="Y2" s="13">
        <v>2032</v>
      </c>
      <c r="Z2" s="13">
        <v>2033</v>
      </c>
      <c r="AA2" s="13">
        <v>2034</v>
      </c>
      <c r="AB2" s="13">
        <v>2035</v>
      </c>
      <c r="AC2" s="13">
        <v>2036</v>
      </c>
      <c r="AD2" s="13">
        <v>2037</v>
      </c>
      <c r="AE2" s="13">
        <v>2038</v>
      </c>
      <c r="AF2" s="13">
        <v>2039</v>
      </c>
      <c r="AG2" s="13">
        <v>2040</v>
      </c>
      <c r="AH2" s="13">
        <v>2041</v>
      </c>
      <c r="AI2" s="13">
        <v>2042</v>
      </c>
      <c r="AJ2" s="13">
        <v>2043</v>
      </c>
      <c r="AK2" s="13">
        <v>2044</v>
      </c>
      <c r="AL2" s="13">
        <v>2045</v>
      </c>
      <c r="AM2" s="13">
        <v>2046</v>
      </c>
      <c r="AN2" s="13">
        <v>2047</v>
      </c>
      <c r="AO2" s="13">
        <v>2048</v>
      </c>
      <c r="AP2" s="13">
        <v>2049</v>
      </c>
      <c r="AQ2" s="13">
        <v>2050</v>
      </c>
      <c r="AR2" s="13">
        <v>2051</v>
      </c>
      <c r="AS2" s="13">
        <v>2052</v>
      </c>
      <c r="AT2" s="13">
        <v>2053</v>
      </c>
      <c r="AU2" s="13">
        <v>2054</v>
      </c>
      <c r="AV2" s="13">
        <v>2055</v>
      </c>
      <c r="AW2" s="13">
        <v>2056</v>
      </c>
      <c r="AX2" s="13">
        <v>2057</v>
      </c>
      <c r="AY2" s="13">
        <v>2058</v>
      </c>
      <c r="AZ2" s="13">
        <v>2059</v>
      </c>
      <c r="BA2" s="13">
        <v>2060</v>
      </c>
      <c r="BB2" s="13">
        <v>2061</v>
      </c>
      <c r="BC2" s="13">
        <v>2062</v>
      </c>
      <c r="BD2" s="13">
        <v>2063</v>
      </c>
      <c r="BE2" s="13">
        <v>2064</v>
      </c>
      <c r="BF2" s="13">
        <v>2065</v>
      </c>
      <c r="BG2" s="13">
        <v>2066</v>
      </c>
      <c r="BH2" s="13">
        <v>2067</v>
      </c>
      <c r="BI2" s="13">
        <v>2068</v>
      </c>
      <c r="BJ2" s="13">
        <v>2069</v>
      </c>
      <c r="BK2" s="13">
        <v>2070</v>
      </c>
      <c r="BL2" s="13">
        <v>2071</v>
      </c>
      <c r="BM2" s="13">
        <v>2072</v>
      </c>
      <c r="BN2" s="13">
        <v>2073</v>
      </c>
      <c r="BO2" s="13">
        <v>2074</v>
      </c>
      <c r="BP2" s="13">
        <v>2075</v>
      </c>
      <c r="BQ2" s="13">
        <v>2076</v>
      </c>
      <c r="BR2" s="13">
        <v>2077</v>
      </c>
      <c r="BS2" s="13">
        <v>2078</v>
      </c>
      <c r="BT2" s="13">
        <v>2079</v>
      </c>
      <c r="BU2" s="13">
        <v>2080</v>
      </c>
      <c r="BV2" s="13">
        <v>2081</v>
      </c>
      <c r="BW2" s="13">
        <v>2082</v>
      </c>
      <c r="BX2" s="13">
        <v>2083</v>
      </c>
      <c r="BY2" s="13">
        <v>2084</v>
      </c>
      <c r="BZ2" s="13">
        <v>2085</v>
      </c>
      <c r="CA2" s="13">
        <v>2086</v>
      </c>
      <c r="CB2" s="13">
        <v>2087</v>
      </c>
      <c r="CC2" s="13">
        <v>2088</v>
      </c>
      <c r="CD2" s="13">
        <v>2089</v>
      </c>
      <c r="CE2" s="13">
        <v>2090</v>
      </c>
      <c r="CF2" s="13">
        <v>2091</v>
      </c>
      <c r="CG2" s="13">
        <v>2092</v>
      </c>
      <c r="CH2" s="13">
        <v>2093</v>
      </c>
      <c r="CI2" s="13">
        <v>2094</v>
      </c>
      <c r="CJ2" s="13">
        <v>2095</v>
      </c>
      <c r="CK2" s="13">
        <v>2096</v>
      </c>
      <c r="CL2" s="13">
        <v>2097</v>
      </c>
      <c r="CM2" s="13">
        <v>2098</v>
      </c>
      <c r="CN2" s="13">
        <v>2099</v>
      </c>
      <c r="CO2" s="13">
        <v>2100</v>
      </c>
    </row>
    <row r="4" spans="1:93" x14ac:dyDescent="0.2">
      <c r="A4" s="4" t="s">
        <v>25</v>
      </c>
      <c r="B4" s="5" t="s">
        <v>26</v>
      </c>
      <c r="C4" s="16">
        <v>9.3288182789608651</v>
      </c>
      <c r="D4" s="16">
        <v>9.4891764663743832</v>
      </c>
      <c r="E4" s="16">
        <v>10.022772189756989</v>
      </c>
      <c r="F4" s="16">
        <v>9.7552997443445939</v>
      </c>
      <c r="G4" s="16">
        <v>10.328695907271541</v>
      </c>
      <c r="H4" s="16">
        <v>10.692007425630294</v>
      </c>
      <c r="I4" s="16">
        <v>11.020336959595356</v>
      </c>
      <c r="J4" s="16">
        <v>11.395164585764155</v>
      </c>
      <c r="K4" s="16">
        <v>11.878648375580031</v>
      </c>
      <c r="L4" s="16">
        <v>12.199316565855566</v>
      </c>
      <c r="M4" s="16">
        <v>12.582769226744023</v>
      </c>
      <c r="N4" s="16">
        <v>12.719757906676906</v>
      </c>
      <c r="O4" s="16">
        <v>13.196688597487904</v>
      </c>
      <c r="P4" s="16">
        <v>13.69265218614396</v>
      </c>
      <c r="Q4" s="16">
        <v>14.065745168458525</v>
      </c>
      <c r="R4" s="16">
        <v>14.550192649304536</v>
      </c>
      <c r="S4" s="16">
        <v>14.84956326781421</v>
      </c>
      <c r="T4" s="16">
        <v>15.119685863559459</v>
      </c>
      <c r="U4" s="16">
        <v>15.519810379269151</v>
      </c>
      <c r="V4" s="16">
        <v>15.579992884100728</v>
      </c>
      <c r="W4" s="37">
        <v>15.636031517502751</v>
      </c>
      <c r="X4" s="16">
        <v>15.636031517502751</v>
      </c>
      <c r="Y4" s="16">
        <v>15.636031517502751</v>
      </c>
      <c r="Z4" s="16">
        <v>15.636031517502751</v>
      </c>
      <c r="AA4" s="16">
        <v>15.636031517502751</v>
      </c>
      <c r="AB4" s="16">
        <v>15.636031517502751</v>
      </c>
      <c r="AC4" s="16">
        <v>15.636031517502751</v>
      </c>
      <c r="AD4" s="16">
        <v>15.636031517502751</v>
      </c>
      <c r="AE4" s="16">
        <v>15.636031517502751</v>
      </c>
      <c r="AF4" s="16">
        <v>15.636031517502751</v>
      </c>
      <c r="AG4" s="16">
        <v>15.636031517502751</v>
      </c>
      <c r="AH4" s="16">
        <v>15.636031517502751</v>
      </c>
      <c r="AI4" s="16">
        <v>15.636031517502751</v>
      </c>
      <c r="AJ4" s="16">
        <v>15.636031517502751</v>
      </c>
      <c r="AK4" s="16">
        <v>15.636031517502751</v>
      </c>
      <c r="AL4" s="16">
        <v>15.636031517502751</v>
      </c>
      <c r="AM4" s="16">
        <v>15.636031517502751</v>
      </c>
      <c r="AN4" s="16">
        <v>15.636031517502751</v>
      </c>
      <c r="AO4" s="16">
        <v>15.636031517502751</v>
      </c>
      <c r="AP4" s="16">
        <v>15.636031517502751</v>
      </c>
      <c r="AQ4" s="16">
        <v>15.636031517502751</v>
      </c>
      <c r="AR4" s="16">
        <v>15.636031517502751</v>
      </c>
      <c r="AS4" s="16">
        <v>15.636031517502751</v>
      </c>
      <c r="AT4" s="16">
        <v>15.636031517502751</v>
      </c>
      <c r="AU4" s="16">
        <v>15.636031517502751</v>
      </c>
      <c r="AV4" s="16">
        <v>15.636031517502751</v>
      </c>
      <c r="AW4" s="16">
        <v>15.636031517502751</v>
      </c>
      <c r="AX4" s="16">
        <v>15.636031517502751</v>
      </c>
      <c r="AY4" s="16">
        <v>15.636031517502751</v>
      </c>
      <c r="AZ4" s="16">
        <v>15.636031517502751</v>
      </c>
      <c r="BA4" s="16">
        <v>15.636031517502751</v>
      </c>
      <c r="BB4" s="16">
        <v>15.636031517502751</v>
      </c>
      <c r="BC4" s="16">
        <v>15.636031517502751</v>
      </c>
      <c r="BD4" s="16">
        <v>15.636031517502751</v>
      </c>
      <c r="BE4" s="16">
        <v>15.636031517502751</v>
      </c>
      <c r="BF4" s="16">
        <v>15.636031517502751</v>
      </c>
      <c r="BG4" s="16">
        <v>15.636031517502751</v>
      </c>
      <c r="BH4" s="16">
        <v>15.636031517502751</v>
      </c>
      <c r="BI4" s="16">
        <v>15.636031517502751</v>
      </c>
      <c r="BJ4" s="16">
        <v>15.636031517502751</v>
      </c>
      <c r="BK4" s="16">
        <v>15.636031517502751</v>
      </c>
      <c r="BL4" s="16">
        <v>15.636031517502751</v>
      </c>
      <c r="BM4" s="16">
        <v>15.636031517502751</v>
      </c>
      <c r="BN4" s="16">
        <v>15.636031517502751</v>
      </c>
      <c r="BO4" s="16">
        <v>15.636031517502751</v>
      </c>
      <c r="BP4" s="16">
        <v>15.636031517502751</v>
      </c>
      <c r="BQ4" s="16">
        <v>15.636031517502751</v>
      </c>
      <c r="BR4" s="16">
        <v>15.636031517502751</v>
      </c>
      <c r="BS4" s="16">
        <v>15.636031517502751</v>
      </c>
      <c r="BT4" s="16">
        <v>15.636031517502751</v>
      </c>
      <c r="BU4" s="16">
        <v>15.636031517502751</v>
      </c>
      <c r="BV4" s="16">
        <v>15.636031517502751</v>
      </c>
      <c r="BW4" s="16">
        <v>15.636031517502751</v>
      </c>
      <c r="BX4" s="16">
        <v>15.636031517502751</v>
      </c>
      <c r="BY4" s="16">
        <v>15.636031517502751</v>
      </c>
      <c r="BZ4" s="16">
        <v>15.636031517502751</v>
      </c>
      <c r="CA4" s="16">
        <v>15.636031517502751</v>
      </c>
      <c r="CB4" s="16">
        <v>15.636031517502751</v>
      </c>
      <c r="CC4" s="16">
        <v>15.636031517502751</v>
      </c>
      <c r="CD4" s="16">
        <v>15.636031517502751</v>
      </c>
      <c r="CE4" s="16">
        <v>15.636031517502751</v>
      </c>
      <c r="CF4" s="16">
        <v>15.636031517502751</v>
      </c>
      <c r="CG4" s="16">
        <v>15.636031517502751</v>
      </c>
      <c r="CH4" s="16">
        <v>15.636031517502751</v>
      </c>
      <c r="CI4" s="16">
        <v>15.636031517502751</v>
      </c>
      <c r="CJ4" s="16">
        <v>15.636031517502751</v>
      </c>
      <c r="CK4" s="16">
        <v>15.636031517502751</v>
      </c>
      <c r="CL4" s="16">
        <v>15.636031517502751</v>
      </c>
      <c r="CM4" s="16">
        <v>15.636031517502751</v>
      </c>
      <c r="CN4" s="16">
        <v>15.636031517502751</v>
      </c>
      <c r="CO4" s="16">
        <v>15.636031517502751</v>
      </c>
    </row>
    <row r="5" spans="1:93" x14ac:dyDescent="0.2">
      <c r="A5" s="4" t="s">
        <v>27</v>
      </c>
      <c r="B5" s="5" t="s">
        <v>26</v>
      </c>
      <c r="C5" s="16">
        <v>7.6277404129246493</v>
      </c>
      <c r="D5" s="16">
        <v>7.6569867966488561</v>
      </c>
      <c r="E5" s="16">
        <v>7.9916662398411082</v>
      </c>
      <c r="F5" s="16">
        <v>8.1730778300873013</v>
      </c>
      <c r="G5" s="16">
        <v>8.5553810974049647</v>
      </c>
      <c r="H5" s="16">
        <v>8.899039232907521</v>
      </c>
      <c r="I5" s="16">
        <v>9.255614083663497</v>
      </c>
      <c r="J5" s="16">
        <v>9.6192248687445066</v>
      </c>
      <c r="K5" s="16">
        <v>10.153378300748708</v>
      </c>
      <c r="L5" s="16">
        <v>10.573066532539682</v>
      </c>
      <c r="M5" s="16">
        <v>10.983356016239755</v>
      </c>
      <c r="N5" s="16">
        <v>11.336885462586388</v>
      </c>
      <c r="O5" s="16">
        <v>11.829453372311288</v>
      </c>
      <c r="P5" s="16">
        <v>12.340188694547097</v>
      </c>
      <c r="Q5" s="16">
        <v>12.723804636179132</v>
      </c>
      <c r="R5" s="16">
        <v>13.22430109876284</v>
      </c>
      <c r="S5" s="16">
        <v>13.533042097503104</v>
      </c>
      <c r="T5" s="16">
        <v>13.814794512339883</v>
      </c>
      <c r="U5" s="16">
        <v>14.232172437337564</v>
      </c>
      <c r="V5" s="16">
        <v>14.298173701864181</v>
      </c>
      <c r="W5" s="37">
        <v>14.360184436475107</v>
      </c>
      <c r="X5" s="16">
        <v>14.360184436475107</v>
      </c>
      <c r="Y5" s="16">
        <v>14.360184436475107</v>
      </c>
      <c r="Z5" s="16">
        <v>14.360184436475107</v>
      </c>
      <c r="AA5" s="16">
        <v>14.360184436475107</v>
      </c>
      <c r="AB5" s="16">
        <v>14.360184436475107</v>
      </c>
      <c r="AC5" s="16">
        <v>14.360184436475107</v>
      </c>
      <c r="AD5" s="16">
        <v>14.360184436475107</v>
      </c>
      <c r="AE5" s="16">
        <v>14.360184436475107</v>
      </c>
      <c r="AF5" s="16">
        <v>14.360184436475107</v>
      </c>
      <c r="AG5" s="16">
        <v>14.360184436475107</v>
      </c>
      <c r="AH5" s="16">
        <v>14.360184436475107</v>
      </c>
      <c r="AI5" s="16">
        <v>14.360184436475107</v>
      </c>
      <c r="AJ5" s="16">
        <v>14.360184436475107</v>
      </c>
      <c r="AK5" s="16">
        <v>14.360184436475107</v>
      </c>
      <c r="AL5" s="16">
        <v>14.360184436475107</v>
      </c>
      <c r="AM5" s="16">
        <v>14.360184436475107</v>
      </c>
      <c r="AN5" s="16">
        <v>14.360184436475107</v>
      </c>
      <c r="AO5" s="16">
        <v>14.360184436475107</v>
      </c>
      <c r="AP5" s="16">
        <v>14.360184436475107</v>
      </c>
      <c r="AQ5" s="16">
        <v>14.360184436475107</v>
      </c>
      <c r="AR5" s="16">
        <v>14.360184436475107</v>
      </c>
      <c r="AS5" s="16">
        <v>14.360184436475107</v>
      </c>
      <c r="AT5" s="16">
        <v>14.360184436475107</v>
      </c>
      <c r="AU5" s="16">
        <v>14.360184436475107</v>
      </c>
      <c r="AV5" s="16">
        <v>14.360184436475107</v>
      </c>
      <c r="AW5" s="16">
        <v>14.360184436475107</v>
      </c>
      <c r="AX5" s="16">
        <v>14.360184436475107</v>
      </c>
      <c r="AY5" s="16">
        <v>14.360184436475107</v>
      </c>
      <c r="AZ5" s="16">
        <v>14.360184436475107</v>
      </c>
      <c r="BA5" s="16">
        <v>14.360184436475107</v>
      </c>
      <c r="BB5" s="16">
        <v>14.360184436475107</v>
      </c>
      <c r="BC5" s="16">
        <v>14.360184436475107</v>
      </c>
      <c r="BD5" s="16">
        <v>14.360184436475107</v>
      </c>
      <c r="BE5" s="16">
        <v>14.360184436475107</v>
      </c>
      <c r="BF5" s="16">
        <v>14.360184436475107</v>
      </c>
      <c r="BG5" s="16">
        <v>14.360184436475107</v>
      </c>
      <c r="BH5" s="16">
        <v>14.360184436475107</v>
      </c>
      <c r="BI5" s="16">
        <v>14.360184436475107</v>
      </c>
      <c r="BJ5" s="16">
        <v>14.360184436475107</v>
      </c>
      <c r="BK5" s="16">
        <v>14.360184436475107</v>
      </c>
      <c r="BL5" s="16">
        <v>14.360184436475107</v>
      </c>
      <c r="BM5" s="16">
        <v>14.360184436475107</v>
      </c>
      <c r="BN5" s="16">
        <v>14.360184436475107</v>
      </c>
      <c r="BO5" s="16">
        <v>14.360184436475107</v>
      </c>
      <c r="BP5" s="16">
        <v>14.360184436475107</v>
      </c>
      <c r="BQ5" s="16">
        <v>14.360184436475107</v>
      </c>
      <c r="BR5" s="16">
        <v>14.360184436475107</v>
      </c>
      <c r="BS5" s="16">
        <v>14.360184436475107</v>
      </c>
      <c r="BT5" s="16">
        <v>14.360184436475107</v>
      </c>
      <c r="BU5" s="16">
        <v>14.360184436475107</v>
      </c>
      <c r="BV5" s="16">
        <v>14.360184436475107</v>
      </c>
      <c r="BW5" s="16">
        <v>14.360184436475107</v>
      </c>
      <c r="BX5" s="16">
        <v>14.360184436475107</v>
      </c>
      <c r="BY5" s="16">
        <v>14.360184436475107</v>
      </c>
      <c r="BZ5" s="16">
        <v>14.360184436475107</v>
      </c>
      <c r="CA5" s="16">
        <v>14.360184436475107</v>
      </c>
      <c r="CB5" s="16">
        <v>14.360184436475107</v>
      </c>
      <c r="CC5" s="16">
        <v>14.360184436475107</v>
      </c>
      <c r="CD5" s="16">
        <v>14.360184436475107</v>
      </c>
      <c r="CE5" s="16">
        <v>14.360184436475107</v>
      </c>
      <c r="CF5" s="16">
        <v>14.360184436475107</v>
      </c>
      <c r="CG5" s="16">
        <v>14.360184436475107</v>
      </c>
      <c r="CH5" s="16">
        <v>14.360184436475107</v>
      </c>
      <c r="CI5" s="16">
        <v>14.360184436475107</v>
      </c>
      <c r="CJ5" s="16">
        <v>14.360184436475107</v>
      </c>
      <c r="CK5" s="16">
        <v>14.360184436475107</v>
      </c>
      <c r="CL5" s="16">
        <v>14.360184436475107</v>
      </c>
      <c r="CM5" s="16">
        <v>14.360184436475107</v>
      </c>
      <c r="CN5" s="16">
        <v>14.360184436475107</v>
      </c>
      <c r="CO5" s="16">
        <v>14.360184436475107</v>
      </c>
    </row>
    <row r="6" spans="1:93" x14ac:dyDescent="0.2">
      <c r="A6" s="4" t="s">
        <v>28</v>
      </c>
      <c r="B6" s="5" t="s">
        <v>26</v>
      </c>
      <c r="C6" s="16">
        <v>6.999817981895827</v>
      </c>
      <c r="D6" s="16">
        <v>7.0266567770849298</v>
      </c>
      <c r="E6" s="16">
        <v>7.3337851083871444</v>
      </c>
      <c r="F6" s="16">
        <v>7.5002627338419847</v>
      </c>
      <c r="G6" s="16">
        <v>7.8510944533605631</v>
      </c>
      <c r="H6" s="16">
        <v>8.1664623429703838</v>
      </c>
      <c r="I6" s="16">
        <v>8.4936836322507947</v>
      </c>
      <c r="J6" s="16">
        <v>8.8273616514330726</v>
      </c>
      <c r="K6" s="16">
        <v>9.3175430939083519</v>
      </c>
      <c r="L6" s="16">
        <v>9.7026822140995339</v>
      </c>
      <c r="M6" s="16">
        <v>10.079196299571059</v>
      </c>
      <c r="N6" s="16">
        <v>10.403622884864095</v>
      </c>
      <c r="O6" s="16">
        <v>10.855642162546253</v>
      </c>
      <c r="P6" s="16">
        <v>11.324333295049648</v>
      </c>
      <c r="Q6" s="16">
        <v>11.676369628355889</v>
      </c>
      <c r="R6" s="16">
        <v>12.135664773315524</v>
      </c>
      <c r="S6" s="16">
        <v>12.418989936173544</v>
      </c>
      <c r="T6" s="16">
        <v>12.677548239557241</v>
      </c>
      <c r="U6" s="16">
        <v>13.06056723948214</v>
      </c>
      <c r="V6" s="16">
        <v>13.121135220725767</v>
      </c>
      <c r="W6" s="37">
        <v>13.178041176054903</v>
      </c>
      <c r="X6" s="16">
        <v>13.178041176054903</v>
      </c>
      <c r="Y6" s="16">
        <v>13.178041176054903</v>
      </c>
      <c r="Z6" s="16">
        <v>13.178041176054903</v>
      </c>
      <c r="AA6" s="16">
        <v>13.178041176054903</v>
      </c>
      <c r="AB6" s="16">
        <v>13.178041176054903</v>
      </c>
      <c r="AC6" s="16">
        <v>13.178041176054903</v>
      </c>
      <c r="AD6" s="16">
        <v>13.178041176054903</v>
      </c>
      <c r="AE6" s="16">
        <v>13.178041176054903</v>
      </c>
      <c r="AF6" s="16">
        <v>13.178041176054903</v>
      </c>
      <c r="AG6" s="16">
        <v>13.178041176054903</v>
      </c>
      <c r="AH6" s="16">
        <v>13.178041176054903</v>
      </c>
      <c r="AI6" s="16">
        <v>13.178041176054903</v>
      </c>
      <c r="AJ6" s="16">
        <v>13.178041176054903</v>
      </c>
      <c r="AK6" s="16">
        <v>13.178041176054903</v>
      </c>
      <c r="AL6" s="16">
        <v>13.178041176054903</v>
      </c>
      <c r="AM6" s="16">
        <v>13.178041176054903</v>
      </c>
      <c r="AN6" s="16">
        <v>13.178041176054903</v>
      </c>
      <c r="AO6" s="16">
        <v>13.178041176054903</v>
      </c>
      <c r="AP6" s="16">
        <v>13.178041176054903</v>
      </c>
      <c r="AQ6" s="16">
        <v>13.178041176054903</v>
      </c>
      <c r="AR6" s="16">
        <v>13.178041176054903</v>
      </c>
      <c r="AS6" s="16">
        <v>13.178041176054903</v>
      </c>
      <c r="AT6" s="16">
        <v>13.178041176054903</v>
      </c>
      <c r="AU6" s="16">
        <v>13.178041176054903</v>
      </c>
      <c r="AV6" s="16">
        <v>13.178041176054903</v>
      </c>
      <c r="AW6" s="16">
        <v>13.178041176054903</v>
      </c>
      <c r="AX6" s="16">
        <v>13.178041176054903</v>
      </c>
      <c r="AY6" s="16">
        <v>13.178041176054903</v>
      </c>
      <c r="AZ6" s="16">
        <v>13.178041176054903</v>
      </c>
      <c r="BA6" s="16">
        <v>13.178041176054903</v>
      </c>
      <c r="BB6" s="16">
        <v>13.178041176054903</v>
      </c>
      <c r="BC6" s="16">
        <v>13.178041176054903</v>
      </c>
      <c r="BD6" s="16">
        <v>13.178041176054903</v>
      </c>
      <c r="BE6" s="16">
        <v>13.178041176054903</v>
      </c>
      <c r="BF6" s="16">
        <v>13.178041176054903</v>
      </c>
      <c r="BG6" s="16">
        <v>13.178041176054903</v>
      </c>
      <c r="BH6" s="16">
        <v>13.178041176054903</v>
      </c>
      <c r="BI6" s="16">
        <v>13.178041176054903</v>
      </c>
      <c r="BJ6" s="16">
        <v>13.178041176054903</v>
      </c>
      <c r="BK6" s="16">
        <v>13.178041176054903</v>
      </c>
      <c r="BL6" s="16">
        <v>13.178041176054903</v>
      </c>
      <c r="BM6" s="16">
        <v>13.178041176054903</v>
      </c>
      <c r="BN6" s="16">
        <v>13.178041176054903</v>
      </c>
      <c r="BO6" s="16">
        <v>13.178041176054903</v>
      </c>
      <c r="BP6" s="16">
        <v>13.178041176054903</v>
      </c>
      <c r="BQ6" s="16">
        <v>13.178041176054903</v>
      </c>
      <c r="BR6" s="16">
        <v>13.178041176054903</v>
      </c>
      <c r="BS6" s="16">
        <v>13.178041176054903</v>
      </c>
      <c r="BT6" s="16">
        <v>13.178041176054903</v>
      </c>
      <c r="BU6" s="16">
        <v>13.178041176054903</v>
      </c>
      <c r="BV6" s="16">
        <v>13.178041176054903</v>
      </c>
      <c r="BW6" s="16">
        <v>13.178041176054903</v>
      </c>
      <c r="BX6" s="16">
        <v>13.178041176054903</v>
      </c>
      <c r="BY6" s="16">
        <v>13.178041176054903</v>
      </c>
      <c r="BZ6" s="16">
        <v>13.178041176054903</v>
      </c>
      <c r="CA6" s="16">
        <v>13.178041176054903</v>
      </c>
      <c r="CB6" s="16">
        <v>13.178041176054903</v>
      </c>
      <c r="CC6" s="16">
        <v>13.178041176054903</v>
      </c>
      <c r="CD6" s="16">
        <v>13.178041176054903</v>
      </c>
      <c r="CE6" s="16">
        <v>13.178041176054903</v>
      </c>
      <c r="CF6" s="16">
        <v>13.178041176054903</v>
      </c>
      <c r="CG6" s="16">
        <v>13.178041176054903</v>
      </c>
      <c r="CH6" s="16">
        <v>13.178041176054903</v>
      </c>
      <c r="CI6" s="16">
        <v>13.178041176054903</v>
      </c>
      <c r="CJ6" s="16">
        <v>13.178041176054903</v>
      </c>
      <c r="CK6" s="16">
        <v>13.178041176054903</v>
      </c>
      <c r="CL6" s="16">
        <v>13.178041176054903</v>
      </c>
      <c r="CM6" s="16">
        <v>13.178041176054903</v>
      </c>
      <c r="CN6" s="16">
        <v>13.178041176054903</v>
      </c>
      <c r="CO6" s="16">
        <v>13.178041176054903</v>
      </c>
    </row>
    <row r="7" spans="1:93" s="6" customFormat="1" x14ac:dyDescent="0.2">
      <c r="A7" s="4" t="s">
        <v>29</v>
      </c>
      <c r="B7" s="5" t="s">
        <v>26</v>
      </c>
      <c r="C7" s="16">
        <v>5.0688964735082793</v>
      </c>
      <c r="D7" s="16">
        <v>5.006972996290016</v>
      </c>
      <c r="E7" s="16">
        <v>5.1885877820045625</v>
      </c>
      <c r="F7" s="16">
        <v>5.1819653640790886</v>
      </c>
      <c r="G7" s="16">
        <v>5.2597561047202221</v>
      </c>
      <c r="H7" s="16">
        <v>5.2503118469129397</v>
      </c>
      <c r="I7" s="16">
        <v>5.282793222062331</v>
      </c>
      <c r="J7" s="16">
        <v>5.309919628840575</v>
      </c>
      <c r="K7" s="16">
        <v>5.3366445825671081</v>
      </c>
      <c r="L7" s="16">
        <v>5.3940893355103681</v>
      </c>
      <c r="M7" s="16">
        <v>5.4248905128691076</v>
      </c>
      <c r="N7" s="16">
        <v>5.5048234163588621</v>
      </c>
      <c r="O7" s="16">
        <v>5.6077518423842747</v>
      </c>
      <c r="P7" s="16">
        <v>5.7951351687730268</v>
      </c>
      <c r="Q7" s="16">
        <v>5.949381119281492</v>
      </c>
      <c r="R7" s="16">
        <v>6.1298032735286636</v>
      </c>
      <c r="S7" s="16">
        <v>6.2987023224346723</v>
      </c>
      <c r="T7" s="16">
        <v>6.4426459071340885</v>
      </c>
      <c r="U7" s="16">
        <v>6.9071202112628907</v>
      </c>
      <c r="V7" s="16">
        <v>6.9661273582056804</v>
      </c>
      <c r="W7" s="37">
        <v>7.022228384739849</v>
      </c>
      <c r="X7" s="16">
        <v>7.022228384739849</v>
      </c>
      <c r="Y7" s="16">
        <v>7.022228384739849</v>
      </c>
      <c r="Z7" s="16">
        <v>7.022228384739849</v>
      </c>
      <c r="AA7" s="16">
        <v>7.022228384739849</v>
      </c>
      <c r="AB7" s="16">
        <v>7.022228384739849</v>
      </c>
      <c r="AC7" s="16">
        <v>7.022228384739849</v>
      </c>
      <c r="AD7" s="16">
        <v>7.022228384739849</v>
      </c>
      <c r="AE7" s="16">
        <v>7.022228384739849</v>
      </c>
      <c r="AF7" s="16">
        <v>7.022228384739849</v>
      </c>
      <c r="AG7" s="16">
        <v>7.022228384739849</v>
      </c>
      <c r="AH7" s="16">
        <v>7.022228384739849</v>
      </c>
      <c r="AI7" s="16">
        <v>7.022228384739849</v>
      </c>
      <c r="AJ7" s="16">
        <v>7.022228384739849</v>
      </c>
      <c r="AK7" s="16">
        <v>7.022228384739849</v>
      </c>
      <c r="AL7" s="16">
        <v>7.022228384739849</v>
      </c>
      <c r="AM7" s="16">
        <v>7.022228384739849</v>
      </c>
      <c r="AN7" s="16">
        <v>7.022228384739849</v>
      </c>
      <c r="AO7" s="16">
        <v>7.022228384739849</v>
      </c>
      <c r="AP7" s="16">
        <v>7.022228384739849</v>
      </c>
      <c r="AQ7" s="16">
        <v>7.022228384739849</v>
      </c>
      <c r="AR7" s="16">
        <v>7.022228384739849</v>
      </c>
      <c r="AS7" s="16">
        <v>7.022228384739849</v>
      </c>
      <c r="AT7" s="16">
        <v>7.022228384739849</v>
      </c>
      <c r="AU7" s="16">
        <v>7.022228384739849</v>
      </c>
      <c r="AV7" s="16">
        <v>7.022228384739849</v>
      </c>
      <c r="AW7" s="16">
        <v>7.022228384739849</v>
      </c>
      <c r="AX7" s="16">
        <v>7.022228384739849</v>
      </c>
      <c r="AY7" s="16">
        <v>7.022228384739849</v>
      </c>
      <c r="AZ7" s="16">
        <v>7.022228384739849</v>
      </c>
      <c r="BA7" s="16">
        <v>7.022228384739849</v>
      </c>
      <c r="BB7" s="16">
        <v>7.022228384739849</v>
      </c>
      <c r="BC7" s="16">
        <v>7.022228384739849</v>
      </c>
      <c r="BD7" s="16">
        <v>7.022228384739849</v>
      </c>
      <c r="BE7" s="16">
        <v>7.022228384739849</v>
      </c>
      <c r="BF7" s="16">
        <v>7.022228384739849</v>
      </c>
      <c r="BG7" s="16">
        <v>7.022228384739849</v>
      </c>
      <c r="BH7" s="16">
        <v>7.022228384739849</v>
      </c>
      <c r="BI7" s="16">
        <v>7.022228384739849</v>
      </c>
      <c r="BJ7" s="16">
        <v>7.022228384739849</v>
      </c>
      <c r="BK7" s="16">
        <v>7.022228384739849</v>
      </c>
      <c r="BL7" s="16">
        <v>7.022228384739849</v>
      </c>
      <c r="BM7" s="16">
        <v>7.022228384739849</v>
      </c>
      <c r="BN7" s="16">
        <v>7.022228384739849</v>
      </c>
      <c r="BO7" s="16">
        <v>7.022228384739849</v>
      </c>
      <c r="BP7" s="16">
        <v>7.022228384739849</v>
      </c>
      <c r="BQ7" s="16">
        <v>7.022228384739849</v>
      </c>
      <c r="BR7" s="16">
        <v>7.022228384739849</v>
      </c>
      <c r="BS7" s="16">
        <v>7.022228384739849</v>
      </c>
      <c r="BT7" s="16">
        <v>7.022228384739849</v>
      </c>
      <c r="BU7" s="16">
        <v>7.022228384739849</v>
      </c>
      <c r="BV7" s="16">
        <v>7.022228384739849</v>
      </c>
      <c r="BW7" s="16">
        <v>7.022228384739849</v>
      </c>
      <c r="BX7" s="16">
        <v>7.022228384739849</v>
      </c>
      <c r="BY7" s="16">
        <v>7.022228384739849</v>
      </c>
      <c r="BZ7" s="16">
        <v>7.022228384739849</v>
      </c>
      <c r="CA7" s="16">
        <v>7.022228384739849</v>
      </c>
      <c r="CB7" s="16">
        <v>7.022228384739849</v>
      </c>
      <c r="CC7" s="16">
        <v>7.022228384739849</v>
      </c>
      <c r="CD7" s="16">
        <v>7.022228384739849</v>
      </c>
      <c r="CE7" s="16">
        <v>7.022228384739849</v>
      </c>
      <c r="CF7" s="16">
        <v>7.022228384739849</v>
      </c>
      <c r="CG7" s="16">
        <v>7.022228384739849</v>
      </c>
      <c r="CH7" s="16">
        <v>7.022228384739849</v>
      </c>
      <c r="CI7" s="16">
        <v>7.022228384739849</v>
      </c>
      <c r="CJ7" s="16">
        <v>7.022228384739849</v>
      </c>
      <c r="CK7" s="16">
        <v>7.022228384739849</v>
      </c>
      <c r="CL7" s="16">
        <v>7.022228384739849</v>
      </c>
      <c r="CM7" s="16">
        <v>7.022228384739849</v>
      </c>
      <c r="CN7" s="16">
        <v>7.022228384739849</v>
      </c>
      <c r="CO7" s="16">
        <v>7.022228384739849</v>
      </c>
    </row>
    <row r="8" spans="1:93" s="6" customFormat="1" x14ac:dyDescent="0.2">
      <c r="A8" s="4" t="s">
        <v>30</v>
      </c>
      <c r="B8" s="5" t="s">
        <v>26</v>
      </c>
      <c r="C8" s="16">
        <v>4.6244688771710658</v>
      </c>
      <c r="D8" s="16">
        <v>4.5594730576653921</v>
      </c>
      <c r="E8" s="16">
        <v>4.7240906919221697</v>
      </c>
      <c r="F8" s="16">
        <v>4.7115101326539435</v>
      </c>
      <c r="G8" s="16">
        <v>4.7786447495784827</v>
      </c>
      <c r="H8" s="16">
        <v>4.7637793974796221</v>
      </c>
      <c r="I8" s="16">
        <v>4.7886271473200086</v>
      </c>
      <c r="J8" s="16">
        <v>4.8086537716485624</v>
      </c>
      <c r="K8" s="16">
        <v>4.8285407952149999</v>
      </c>
      <c r="L8" s="16">
        <v>4.8776252221361496</v>
      </c>
      <c r="M8" s="16">
        <v>4.9018715753279256</v>
      </c>
      <c r="N8" s="16">
        <v>4.9726903385825327</v>
      </c>
      <c r="O8" s="16">
        <v>5.065468488714302</v>
      </c>
      <c r="P8" s="16">
        <v>5.2381273175025065</v>
      </c>
      <c r="Q8" s="16">
        <v>5.3798815115924024</v>
      </c>
      <c r="R8" s="16">
        <v>5.5466302566496228</v>
      </c>
      <c r="S8" s="16">
        <v>5.7028649350137908</v>
      </c>
      <c r="T8" s="16">
        <v>5.8359417088781562</v>
      </c>
      <c r="U8" s="16">
        <v>6.2713977092980739</v>
      </c>
      <c r="V8" s="16">
        <v>6.3251939376066266</v>
      </c>
      <c r="W8" s="37">
        <v>6.376644664051712</v>
      </c>
      <c r="X8" s="16">
        <v>6.376644664051712</v>
      </c>
      <c r="Y8" s="16">
        <v>6.376644664051712</v>
      </c>
      <c r="Z8" s="16">
        <v>6.376644664051712</v>
      </c>
      <c r="AA8" s="16">
        <v>6.376644664051712</v>
      </c>
      <c r="AB8" s="16">
        <v>6.376644664051712</v>
      </c>
      <c r="AC8" s="16">
        <v>6.376644664051712</v>
      </c>
      <c r="AD8" s="16">
        <v>6.376644664051712</v>
      </c>
      <c r="AE8" s="16">
        <v>6.376644664051712</v>
      </c>
      <c r="AF8" s="16">
        <v>6.376644664051712</v>
      </c>
      <c r="AG8" s="16">
        <v>6.376644664051712</v>
      </c>
      <c r="AH8" s="16">
        <v>6.376644664051712</v>
      </c>
      <c r="AI8" s="16">
        <v>6.376644664051712</v>
      </c>
      <c r="AJ8" s="16">
        <v>6.376644664051712</v>
      </c>
      <c r="AK8" s="16">
        <v>6.376644664051712</v>
      </c>
      <c r="AL8" s="16">
        <v>6.376644664051712</v>
      </c>
      <c r="AM8" s="16">
        <v>6.376644664051712</v>
      </c>
      <c r="AN8" s="16">
        <v>6.376644664051712</v>
      </c>
      <c r="AO8" s="16">
        <v>6.376644664051712</v>
      </c>
      <c r="AP8" s="16">
        <v>6.376644664051712</v>
      </c>
      <c r="AQ8" s="16">
        <v>6.376644664051712</v>
      </c>
      <c r="AR8" s="16">
        <v>6.376644664051712</v>
      </c>
      <c r="AS8" s="16">
        <v>6.376644664051712</v>
      </c>
      <c r="AT8" s="16">
        <v>6.376644664051712</v>
      </c>
      <c r="AU8" s="16">
        <v>6.376644664051712</v>
      </c>
      <c r="AV8" s="16">
        <v>6.376644664051712</v>
      </c>
      <c r="AW8" s="16">
        <v>6.376644664051712</v>
      </c>
      <c r="AX8" s="16">
        <v>6.376644664051712</v>
      </c>
      <c r="AY8" s="16">
        <v>6.376644664051712</v>
      </c>
      <c r="AZ8" s="16">
        <v>6.376644664051712</v>
      </c>
      <c r="BA8" s="16">
        <v>6.376644664051712</v>
      </c>
      <c r="BB8" s="16">
        <v>6.376644664051712</v>
      </c>
      <c r="BC8" s="16">
        <v>6.376644664051712</v>
      </c>
      <c r="BD8" s="16">
        <v>6.376644664051712</v>
      </c>
      <c r="BE8" s="16">
        <v>6.376644664051712</v>
      </c>
      <c r="BF8" s="16">
        <v>6.376644664051712</v>
      </c>
      <c r="BG8" s="16">
        <v>6.376644664051712</v>
      </c>
      <c r="BH8" s="16">
        <v>6.376644664051712</v>
      </c>
      <c r="BI8" s="16">
        <v>6.376644664051712</v>
      </c>
      <c r="BJ8" s="16">
        <v>6.376644664051712</v>
      </c>
      <c r="BK8" s="16">
        <v>6.376644664051712</v>
      </c>
      <c r="BL8" s="16">
        <v>6.376644664051712</v>
      </c>
      <c r="BM8" s="16">
        <v>6.376644664051712</v>
      </c>
      <c r="BN8" s="16">
        <v>6.376644664051712</v>
      </c>
      <c r="BO8" s="16">
        <v>6.376644664051712</v>
      </c>
      <c r="BP8" s="16">
        <v>6.376644664051712</v>
      </c>
      <c r="BQ8" s="16">
        <v>6.376644664051712</v>
      </c>
      <c r="BR8" s="16">
        <v>6.376644664051712</v>
      </c>
      <c r="BS8" s="16">
        <v>6.376644664051712</v>
      </c>
      <c r="BT8" s="16">
        <v>6.376644664051712</v>
      </c>
      <c r="BU8" s="16">
        <v>6.376644664051712</v>
      </c>
      <c r="BV8" s="16">
        <v>6.376644664051712</v>
      </c>
      <c r="BW8" s="16">
        <v>6.376644664051712</v>
      </c>
      <c r="BX8" s="16">
        <v>6.376644664051712</v>
      </c>
      <c r="BY8" s="16">
        <v>6.376644664051712</v>
      </c>
      <c r="BZ8" s="16">
        <v>6.376644664051712</v>
      </c>
      <c r="CA8" s="16">
        <v>6.376644664051712</v>
      </c>
      <c r="CB8" s="16">
        <v>6.376644664051712</v>
      </c>
      <c r="CC8" s="16">
        <v>6.376644664051712</v>
      </c>
      <c r="CD8" s="16">
        <v>6.376644664051712</v>
      </c>
      <c r="CE8" s="16">
        <v>6.376644664051712</v>
      </c>
      <c r="CF8" s="16">
        <v>6.376644664051712</v>
      </c>
      <c r="CG8" s="16">
        <v>6.376644664051712</v>
      </c>
      <c r="CH8" s="16">
        <v>6.376644664051712</v>
      </c>
      <c r="CI8" s="16">
        <v>6.376644664051712</v>
      </c>
      <c r="CJ8" s="16">
        <v>6.376644664051712</v>
      </c>
      <c r="CK8" s="16">
        <v>6.376644664051712</v>
      </c>
      <c r="CL8" s="16">
        <v>6.376644664051712</v>
      </c>
      <c r="CM8" s="16">
        <v>6.376644664051712</v>
      </c>
      <c r="CN8" s="16">
        <v>6.376644664051712</v>
      </c>
      <c r="CO8" s="16">
        <v>6.376644664051712</v>
      </c>
    </row>
    <row r="9" spans="1:93" s="6" customFormat="1" x14ac:dyDescent="0.2">
      <c r="A9" s="4" t="s">
        <v>31</v>
      </c>
      <c r="B9" s="5" t="s">
        <v>26</v>
      </c>
      <c r="C9" s="16">
        <v>4.3342308617600898</v>
      </c>
      <c r="D9" s="16">
        <v>4.2750874304989859</v>
      </c>
      <c r="E9" s="16">
        <v>4.4297203449078584</v>
      </c>
      <c r="F9" s="16">
        <v>4.4193959880401321</v>
      </c>
      <c r="G9" s="16">
        <v>4.4832974838373305</v>
      </c>
      <c r="H9" s="16">
        <v>4.4708718362412245</v>
      </c>
      <c r="I9" s="16">
        <v>4.4954328985464826</v>
      </c>
      <c r="J9" s="16">
        <v>4.5155210648620541</v>
      </c>
      <c r="K9" s="16">
        <v>4.5354957366022637</v>
      </c>
      <c r="L9" s="16">
        <v>4.582670126508356</v>
      </c>
      <c r="M9" s="16">
        <v>4.6067390541499851</v>
      </c>
      <c r="N9" s="16">
        <v>4.6741853930557493</v>
      </c>
      <c r="O9" s="16">
        <v>4.7620957374901609</v>
      </c>
      <c r="P9" s="16">
        <v>4.9243947226158564</v>
      </c>
      <c r="Q9" s="16">
        <v>5.0579439714045833</v>
      </c>
      <c r="R9" s="16">
        <v>5.2147855525315441</v>
      </c>
      <c r="S9" s="16">
        <v>5.3618624057455335</v>
      </c>
      <c r="T9" s="16">
        <v>5.4874041893250824</v>
      </c>
      <c r="U9" s="16">
        <v>5.8944813304540169</v>
      </c>
      <c r="V9" s="16">
        <v>5.9462659204535075</v>
      </c>
      <c r="W9" s="37">
        <v>5.9958939913903722</v>
      </c>
      <c r="X9" s="16">
        <v>5.9958939913903722</v>
      </c>
      <c r="Y9" s="16">
        <v>5.9958939913903722</v>
      </c>
      <c r="Z9" s="16">
        <v>5.9958939913903722</v>
      </c>
      <c r="AA9" s="16">
        <v>5.9958939913903722</v>
      </c>
      <c r="AB9" s="16">
        <v>5.9958939913903722</v>
      </c>
      <c r="AC9" s="16">
        <v>5.9958939913903722</v>
      </c>
      <c r="AD9" s="16">
        <v>5.9958939913903722</v>
      </c>
      <c r="AE9" s="16">
        <v>5.9958939913903722</v>
      </c>
      <c r="AF9" s="16">
        <v>5.9958939913903722</v>
      </c>
      <c r="AG9" s="16">
        <v>5.9958939913903722</v>
      </c>
      <c r="AH9" s="16">
        <v>5.9958939913903722</v>
      </c>
      <c r="AI9" s="16">
        <v>5.9958939913903722</v>
      </c>
      <c r="AJ9" s="16">
        <v>5.9958939913903722</v>
      </c>
      <c r="AK9" s="16">
        <v>5.9958939913903722</v>
      </c>
      <c r="AL9" s="16">
        <v>5.9958939913903722</v>
      </c>
      <c r="AM9" s="16">
        <v>5.9958939913903722</v>
      </c>
      <c r="AN9" s="16">
        <v>5.9958939913903722</v>
      </c>
      <c r="AO9" s="16">
        <v>5.9958939913903722</v>
      </c>
      <c r="AP9" s="16">
        <v>5.9958939913903722</v>
      </c>
      <c r="AQ9" s="16">
        <v>5.9958939913903722</v>
      </c>
      <c r="AR9" s="16">
        <v>5.9958939913903722</v>
      </c>
      <c r="AS9" s="16">
        <v>5.9958939913903722</v>
      </c>
      <c r="AT9" s="16">
        <v>5.9958939913903722</v>
      </c>
      <c r="AU9" s="16">
        <v>5.9958939913903722</v>
      </c>
      <c r="AV9" s="16">
        <v>5.9958939913903722</v>
      </c>
      <c r="AW9" s="16">
        <v>5.9958939913903722</v>
      </c>
      <c r="AX9" s="16">
        <v>5.9958939913903722</v>
      </c>
      <c r="AY9" s="16">
        <v>5.9958939913903722</v>
      </c>
      <c r="AZ9" s="16">
        <v>5.9958939913903722</v>
      </c>
      <c r="BA9" s="16">
        <v>5.9958939913903722</v>
      </c>
      <c r="BB9" s="16">
        <v>5.9958939913903722</v>
      </c>
      <c r="BC9" s="16">
        <v>5.9958939913903722</v>
      </c>
      <c r="BD9" s="16">
        <v>5.9958939913903722</v>
      </c>
      <c r="BE9" s="16">
        <v>5.9958939913903722</v>
      </c>
      <c r="BF9" s="16">
        <v>5.9958939913903722</v>
      </c>
      <c r="BG9" s="16">
        <v>5.9958939913903722</v>
      </c>
      <c r="BH9" s="16">
        <v>5.9958939913903722</v>
      </c>
      <c r="BI9" s="16">
        <v>5.9958939913903722</v>
      </c>
      <c r="BJ9" s="16">
        <v>5.9958939913903722</v>
      </c>
      <c r="BK9" s="16">
        <v>5.9958939913903722</v>
      </c>
      <c r="BL9" s="16">
        <v>5.9958939913903722</v>
      </c>
      <c r="BM9" s="16">
        <v>5.9958939913903722</v>
      </c>
      <c r="BN9" s="16">
        <v>5.9958939913903722</v>
      </c>
      <c r="BO9" s="16">
        <v>5.9958939913903722</v>
      </c>
      <c r="BP9" s="16">
        <v>5.9958939913903722</v>
      </c>
      <c r="BQ9" s="16">
        <v>5.9958939913903722</v>
      </c>
      <c r="BR9" s="16">
        <v>5.9958939913903722</v>
      </c>
      <c r="BS9" s="16">
        <v>5.9958939913903722</v>
      </c>
      <c r="BT9" s="16">
        <v>5.9958939913903722</v>
      </c>
      <c r="BU9" s="16">
        <v>5.9958939913903722</v>
      </c>
      <c r="BV9" s="16">
        <v>5.9958939913903722</v>
      </c>
      <c r="BW9" s="16">
        <v>5.9958939913903722</v>
      </c>
      <c r="BX9" s="16">
        <v>5.9958939913903722</v>
      </c>
      <c r="BY9" s="16">
        <v>5.9958939913903722</v>
      </c>
      <c r="BZ9" s="16">
        <v>5.9958939913903722</v>
      </c>
      <c r="CA9" s="16">
        <v>5.9958939913903722</v>
      </c>
      <c r="CB9" s="16">
        <v>5.9958939913903722</v>
      </c>
      <c r="CC9" s="16">
        <v>5.9958939913903722</v>
      </c>
      <c r="CD9" s="16">
        <v>5.9958939913903722</v>
      </c>
      <c r="CE9" s="16">
        <v>5.9958939913903722</v>
      </c>
      <c r="CF9" s="16">
        <v>5.9958939913903722</v>
      </c>
      <c r="CG9" s="16">
        <v>5.9958939913903722</v>
      </c>
      <c r="CH9" s="16">
        <v>5.9958939913903722</v>
      </c>
      <c r="CI9" s="16">
        <v>5.9958939913903722</v>
      </c>
      <c r="CJ9" s="16">
        <v>5.9958939913903722</v>
      </c>
      <c r="CK9" s="16">
        <v>5.9958939913903722</v>
      </c>
      <c r="CL9" s="16">
        <v>5.9958939913903722</v>
      </c>
      <c r="CM9" s="16">
        <v>5.9958939913903722</v>
      </c>
      <c r="CN9" s="16">
        <v>5.9958939913903722</v>
      </c>
      <c r="CO9" s="16">
        <v>5.9958939913903722</v>
      </c>
    </row>
    <row r="10" spans="1:93" x14ac:dyDescent="0.2">
      <c r="A10" s="7"/>
      <c r="C10" s="19"/>
      <c r="D10" s="19"/>
      <c r="E10" s="19"/>
      <c r="F10" s="19"/>
      <c r="G10" s="19"/>
      <c r="H10" s="19"/>
      <c r="I10" s="19"/>
      <c r="J10" s="19"/>
      <c r="K10" s="19"/>
      <c r="L10" s="19"/>
      <c r="M10" s="19"/>
      <c r="N10" s="19"/>
      <c r="O10" s="19"/>
      <c r="P10" s="19"/>
      <c r="Q10" s="19"/>
      <c r="R10" s="19"/>
      <c r="S10" s="19"/>
      <c r="T10" s="19"/>
      <c r="U10" s="19"/>
      <c r="V10" s="19"/>
      <c r="W10" s="26"/>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row>
    <row r="11" spans="1:93" x14ac:dyDescent="0.2">
      <c r="A11" s="4" t="s">
        <v>32</v>
      </c>
      <c r="B11" s="5" t="s">
        <v>26</v>
      </c>
      <c r="C11" s="19">
        <v>2.8127780126451056</v>
      </c>
      <c r="D11" s="19">
        <v>2.8837924046553356</v>
      </c>
      <c r="E11" s="19">
        <v>2.9797663943459143</v>
      </c>
      <c r="F11" s="19">
        <v>3.1068772412199719</v>
      </c>
      <c r="G11" s="19">
        <v>3.3077730918158808</v>
      </c>
      <c r="H11" s="19">
        <v>3.3875137061039311</v>
      </c>
      <c r="I11" s="19">
        <v>3.4372883478101106</v>
      </c>
      <c r="J11" s="19">
        <v>3.5502522103618701</v>
      </c>
      <c r="K11" s="19">
        <v>3.6690415851907603</v>
      </c>
      <c r="L11" s="19">
        <v>3.7733611392022586</v>
      </c>
      <c r="M11" s="19">
        <v>3.9653958507761295</v>
      </c>
      <c r="N11" s="19">
        <v>3.8182546858408339</v>
      </c>
      <c r="O11" s="19">
        <v>3.8581370391227354</v>
      </c>
      <c r="P11" s="19">
        <v>3.889558185160102</v>
      </c>
      <c r="Q11" s="19">
        <v>3.9183050885888604</v>
      </c>
      <c r="R11" s="19">
        <v>3.9495575886959533</v>
      </c>
      <c r="S11" s="19">
        <v>3.9739437902133758</v>
      </c>
      <c r="T11" s="19">
        <v>3.9968748182753036</v>
      </c>
      <c r="U11" s="19">
        <v>4.0180278363866426</v>
      </c>
      <c r="V11" s="19">
        <v>4.0369836389492857</v>
      </c>
      <c r="W11" s="26">
        <v>4.0548504706478834</v>
      </c>
      <c r="X11" s="19">
        <v>4.0548504706478834</v>
      </c>
      <c r="Y11" s="19">
        <v>4.0548504706478834</v>
      </c>
      <c r="Z11" s="19">
        <v>4.0548504706478834</v>
      </c>
      <c r="AA11" s="19">
        <v>4.0548504706478834</v>
      </c>
      <c r="AB11" s="19">
        <v>4.0548504706478834</v>
      </c>
      <c r="AC11" s="19">
        <v>4.0548504706478834</v>
      </c>
      <c r="AD11" s="19">
        <v>4.0548504706478834</v>
      </c>
      <c r="AE11" s="19">
        <v>4.0548504706478834</v>
      </c>
      <c r="AF11" s="19">
        <v>4.0548504706478834</v>
      </c>
      <c r="AG11" s="19">
        <v>4.0548504706478834</v>
      </c>
      <c r="AH11" s="19">
        <v>4.0548504706478834</v>
      </c>
      <c r="AI11" s="19">
        <v>4.0548504706478834</v>
      </c>
      <c r="AJ11" s="19">
        <v>4.0548504706478834</v>
      </c>
      <c r="AK11" s="19">
        <v>4.0548504706478834</v>
      </c>
      <c r="AL11" s="19">
        <v>4.0548504706478834</v>
      </c>
      <c r="AM11" s="19">
        <v>4.0548504706478834</v>
      </c>
      <c r="AN11" s="19">
        <v>4.0548504706478834</v>
      </c>
      <c r="AO11" s="19">
        <v>4.0548504706478834</v>
      </c>
      <c r="AP11" s="19">
        <v>4.0548504706478834</v>
      </c>
      <c r="AQ11" s="19">
        <v>4.0548504706478834</v>
      </c>
      <c r="AR11" s="19">
        <v>4.0548504706478834</v>
      </c>
      <c r="AS11" s="19">
        <v>4.0548504706478834</v>
      </c>
      <c r="AT11" s="19">
        <v>4.0548504706478834</v>
      </c>
      <c r="AU11" s="19">
        <v>4.0548504706478834</v>
      </c>
      <c r="AV11" s="19">
        <v>4.0548504706478834</v>
      </c>
      <c r="AW11" s="19">
        <v>4.0548504706478834</v>
      </c>
      <c r="AX11" s="19">
        <v>4.0548504706478834</v>
      </c>
      <c r="AY11" s="19">
        <v>4.0548504706478834</v>
      </c>
      <c r="AZ11" s="19">
        <v>4.0548504706478834</v>
      </c>
      <c r="BA11" s="19">
        <v>4.0548504706478834</v>
      </c>
      <c r="BB11" s="19">
        <v>4.0548504706478834</v>
      </c>
      <c r="BC11" s="19">
        <v>4.0548504706478834</v>
      </c>
      <c r="BD11" s="19">
        <v>4.0548504706478834</v>
      </c>
      <c r="BE11" s="19">
        <v>4.0548504706478834</v>
      </c>
      <c r="BF11" s="19">
        <v>4.0548504706478834</v>
      </c>
      <c r="BG11" s="19">
        <v>4.0548504706478834</v>
      </c>
      <c r="BH11" s="19">
        <v>4.0548504706478834</v>
      </c>
      <c r="BI11" s="19">
        <v>4.0548504706478834</v>
      </c>
      <c r="BJ11" s="19">
        <v>4.0548504706478834</v>
      </c>
      <c r="BK11" s="19">
        <v>4.0548504706478834</v>
      </c>
      <c r="BL11" s="19">
        <v>4.0548504706478834</v>
      </c>
      <c r="BM11" s="19">
        <v>4.0548504706478834</v>
      </c>
      <c r="BN11" s="19">
        <v>4.0548504706478834</v>
      </c>
      <c r="BO11" s="19">
        <v>4.0548504706478834</v>
      </c>
      <c r="BP11" s="19">
        <v>4.0548504706478834</v>
      </c>
      <c r="BQ11" s="19">
        <v>4.0548504706478834</v>
      </c>
      <c r="BR11" s="19">
        <v>4.0548504706478834</v>
      </c>
      <c r="BS11" s="19">
        <v>4.0548504706478834</v>
      </c>
      <c r="BT11" s="19">
        <v>4.0548504706478834</v>
      </c>
      <c r="BU11" s="19">
        <v>4.0548504706478834</v>
      </c>
      <c r="BV11" s="19">
        <v>4.0548504706478834</v>
      </c>
      <c r="BW11" s="19">
        <v>4.0548504706478834</v>
      </c>
      <c r="BX11" s="19">
        <v>4.0548504706478834</v>
      </c>
      <c r="BY11" s="19">
        <v>4.0548504706478834</v>
      </c>
      <c r="BZ11" s="19">
        <v>4.0548504706478834</v>
      </c>
      <c r="CA11" s="19">
        <v>4.0548504706478834</v>
      </c>
      <c r="CB11" s="19">
        <v>4.0548504706478834</v>
      </c>
      <c r="CC11" s="19">
        <v>4.0548504706478834</v>
      </c>
      <c r="CD11" s="19">
        <v>4.0548504706478834</v>
      </c>
      <c r="CE11" s="19">
        <v>4.0548504706478834</v>
      </c>
      <c r="CF11" s="19">
        <v>4.0548504706478834</v>
      </c>
      <c r="CG11" s="19">
        <v>4.0548504706478834</v>
      </c>
      <c r="CH11" s="19">
        <v>4.0548504706478834</v>
      </c>
      <c r="CI11" s="19">
        <v>4.0548504706478834</v>
      </c>
      <c r="CJ11" s="19">
        <v>4.0548504706478834</v>
      </c>
      <c r="CK11" s="19">
        <v>4.0548504706478834</v>
      </c>
      <c r="CL11" s="19">
        <v>4.0548504706478834</v>
      </c>
      <c r="CM11" s="19">
        <v>4.0548504706478834</v>
      </c>
      <c r="CN11" s="19">
        <v>4.0548504706478834</v>
      </c>
      <c r="CO11" s="19">
        <v>4.0548504706478834</v>
      </c>
    </row>
    <row r="12" spans="1:93" x14ac:dyDescent="0.2">
      <c r="A12" s="4" t="s">
        <v>33</v>
      </c>
      <c r="B12" s="5" t="s">
        <v>26</v>
      </c>
      <c r="C12" s="19">
        <v>1.8935926557759297</v>
      </c>
      <c r="D12" s="19">
        <v>1.9028471632070405</v>
      </c>
      <c r="E12" s="19">
        <v>1.9273145595660046</v>
      </c>
      <c r="F12" s="19">
        <v>1.9613956565668755</v>
      </c>
      <c r="G12" s="19">
        <v>2.0083284753599226</v>
      </c>
      <c r="H12" s="19">
        <v>2.0696501515972305</v>
      </c>
      <c r="I12" s="19">
        <v>2.1443095169119109</v>
      </c>
      <c r="J12" s="19">
        <v>2.2380272514112067</v>
      </c>
      <c r="K12" s="19">
        <v>2.3613942725605161</v>
      </c>
      <c r="L12" s="19">
        <v>2.5162646511979219</v>
      </c>
      <c r="M12" s="19">
        <v>2.7040064908763104</v>
      </c>
      <c r="N12" s="19">
        <v>2.7211949424635442</v>
      </c>
      <c r="O12" s="19">
        <v>2.7396775460602663</v>
      </c>
      <c r="P12" s="19">
        <v>2.7485939892929805</v>
      </c>
      <c r="Q12" s="19">
        <v>2.7549591042784187</v>
      </c>
      <c r="R12" s="19">
        <v>2.7643984905680279</v>
      </c>
      <c r="S12" s="19">
        <v>2.7665694965921075</v>
      </c>
      <c r="T12" s="19">
        <v>2.7681541725220917</v>
      </c>
      <c r="U12" s="19">
        <v>2.7683284868743896</v>
      </c>
      <c r="V12" s="19">
        <v>2.7668969962843035</v>
      </c>
      <c r="W12" s="26">
        <v>2.7646731677292249</v>
      </c>
      <c r="X12" s="19">
        <v>2.7646731677292249</v>
      </c>
      <c r="Y12" s="19">
        <v>2.7646731677292249</v>
      </c>
      <c r="Z12" s="19">
        <v>2.7646731677292249</v>
      </c>
      <c r="AA12" s="19">
        <v>2.7646731677292249</v>
      </c>
      <c r="AB12" s="19">
        <v>2.7646731677292249</v>
      </c>
      <c r="AC12" s="19">
        <v>2.7646731677292249</v>
      </c>
      <c r="AD12" s="19">
        <v>2.7646731677292249</v>
      </c>
      <c r="AE12" s="19">
        <v>2.7646731677292249</v>
      </c>
      <c r="AF12" s="19">
        <v>2.7646731677292249</v>
      </c>
      <c r="AG12" s="19">
        <v>2.7646731677292249</v>
      </c>
      <c r="AH12" s="19">
        <v>2.7646731677292249</v>
      </c>
      <c r="AI12" s="19">
        <v>2.7646731677292249</v>
      </c>
      <c r="AJ12" s="19">
        <v>2.7646731677292249</v>
      </c>
      <c r="AK12" s="19">
        <v>2.7646731677292249</v>
      </c>
      <c r="AL12" s="19">
        <v>2.7646731677292249</v>
      </c>
      <c r="AM12" s="19">
        <v>2.7646731677292249</v>
      </c>
      <c r="AN12" s="19">
        <v>2.7646731677292249</v>
      </c>
      <c r="AO12" s="19">
        <v>2.7646731677292249</v>
      </c>
      <c r="AP12" s="19">
        <v>2.7646731677292249</v>
      </c>
      <c r="AQ12" s="19">
        <v>2.7646731677292249</v>
      </c>
      <c r="AR12" s="19">
        <v>2.7646731677292249</v>
      </c>
      <c r="AS12" s="19">
        <v>2.7646731677292249</v>
      </c>
      <c r="AT12" s="19">
        <v>2.7646731677292249</v>
      </c>
      <c r="AU12" s="19">
        <v>2.7646731677292249</v>
      </c>
      <c r="AV12" s="19">
        <v>2.7646731677292249</v>
      </c>
      <c r="AW12" s="19">
        <v>2.7646731677292249</v>
      </c>
      <c r="AX12" s="19">
        <v>2.7646731677292249</v>
      </c>
      <c r="AY12" s="19">
        <v>2.7646731677292249</v>
      </c>
      <c r="AZ12" s="19">
        <v>2.7646731677292249</v>
      </c>
      <c r="BA12" s="19">
        <v>2.7646731677292249</v>
      </c>
      <c r="BB12" s="19">
        <v>2.7646731677292249</v>
      </c>
      <c r="BC12" s="19">
        <v>2.7646731677292249</v>
      </c>
      <c r="BD12" s="19">
        <v>2.7646731677292249</v>
      </c>
      <c r="BE12" s="19">
        <v>2.7646731677292249</v>
      </c>
      <c r="BF12" s="19">
        <v>2.7646731677292249</v>
      </c>
      <c r="BG12" s="19">
        <v>2.7646731677292249</v>
      </c>
      <c r="BH12" s="19">
        <v>2.7646731677292249</v>
      </c>
      <c r="BI12" s="19">
        <v>2.7646731677292249</v>
      </c>
      <c r="BJ12" s="19">
        <v>2.7646731677292249</v>
      </c>
      <c r="BK12" s="19">
        <v>2.7646731677292249</v>
      </c>
      <c r="BL12" s="19">
        <v>2.7646731677292249</v>
      </c>
      <c r="BM12" s="19">
        <v>2.7646731677292249</v>
      </c>
      <c r="BN12" s="19">
        <v>2.7646731677292249</v>
      </c>
      <c r="BO12" s="19">
        <v>2.7646731677292249</v>
      </c>
      <c r="BP12" s="19">
        <v>2.7646731677292249</v>
      </c>
      <c r="BQ12" s="19">
        <v>2.7646731677292249</v>
      </c>
      <c r="BR12" s="19">
        <v>2.7646731677292249</v>
      </c>
      <c r="BS12" s="19">
        <v>2.7646731677292249</v>
      </c>
      <c r="BT12" s="19">
        <v>2.7646731677292249</v>
      </c>
      <c r="BU12" s="19">
        <v>2.7646731677292249</v>
      </c>
      <c r="BV12" s="19">
        <v>2.7646731677292249</v>
      </c>
      <c r="BW12" s="19">
        <v>2.7646731677292249</v>
      </c>
      <c r="BX12" s="19">
        <v>2.7646731677292249</v>
      </c>
      <c r="BY12" s="19">
        <v>2.7646731677292249</v>
      </c>
      <c r="BZ12" s="19">
        <v>2.7646731677292249</v>
      </c>
      <c r="CA12" s="19">
        <v>2.7646731677292249</v>
      </c>
      <c r="CB12" s="19">
        <v>2.7646731677292249</v>
      </c>
      <c r="CC12" s="19">
        <v>2.7646731677292249</v>
      </c>
      <c r="CD12" s="19">
        <v>2.7646731677292249</v>
      </c>
      <c r="CE12" s="19">
        <v>2.7646731677292249</v>
      </c>
      <c r="CF12" s="19">
        <v>2.7646731677292249</v>
      </c>
      <c r="CG12" s="19">
        <v>2.7646731677292249</v>
      </c>
      <c r="CH12" s="19">
        <v>2.7646731677292249</v>
      </c>
      <c r="CI12" s="19">
        <v>2.7646731677292249</v>
      </c>
      <c r="CJ12" s="19">
        <v>2.7646731677292249</v>
      </c>
      <c r="CK12" s="19">
        <v>2.7646731677292249</v>
      </c>
      <c r="CL12" s="19">
        <v>2.7646731677292249</v>
      </c>
      <c r="CM12" s="19">
        <v>2.7646731677292249</v>
      </c>
      <c r="CN12" s="19">
        <v>2.7646731677292249</v>
      </c>
      <c r="CO12" s="19">
        <v>2.7646731677292249</v>
      </c>
    </row>
    <row r="13" spans="1:93" x14ac:dyDescent="0.2">
      <c r="A13" s="4" t="s">
        <v>34</v>
      </c>
      <c r="B13" s="5" t="s">
        <v>26</v>
      </c>
      <c r="C13" s="19">
        <v>1.7273294393140959</v>
      </c>
      <c r="D13" s="19">
        <v>1.7357713727380288</v>
      </c>
      <c r="E13" s="19">
        <v>1.758090456995824</v>
      </c>
      <c r="F13" s="19">
        <v>1.7891791296277957</v>
      </c>
      <c r="G13" s="19">
        <v>1.8319911036412908</v>
      </c>
      <c r="H13" s="19">
        <v>1.8879285494851468</v>
      </c>
      <c r="I13" s="19">
        <v>1.9560325945843864</v>
      </c>
      <c r="J13" s="19">
        <v>2.0415216258671585</v>
      </c>
      <c r="K13" s="19">
        <v>2.1540566459105097</v>
      </c>
      <c r="L13" s="19">
        <v>2.2953289324723176</v>
      </c>
      <c r="M13" s="19">
        <v>2.466586465436599</v>
      </c>
      <c r="N13" s="19">
        <v>2.4822657184968029</v>
      </c>
      <c r="O13" s="19">
        <v>2.4991254930689157</v>
      </c>
      <c r="P13" s="19">
        <v>2.5072590453632073</v>
      </c>
      <c r="Q13" s="19">
        <v>2.5130652838197363</v>
      </c>
      <c r="R13" s="19">
        <v>2.5216758631739418</v>
      </c>
      <c r="S13" s="19">
        <v>2.523656248240858</v>
      </c>
      <c r="T13" s="19">
        <v>2.5251017847860515</v>
      </c>
      <c r="U13" s="19">
        <v>2.5252607938060225</v>
      </c>
      <c r="V13" s="19">
        <v>2.5239549924601974</v>
      </c>
      <c r="W13" s="26">
        <v>2.521926422841775</v>
      </c>
      <c r="X13" s="19">
        <v>2.521926422841775</v>
      </c>
      <c r="Y13" s="19">
        <v>2.521926422841775</v>
      </c>
      <c r="Z13" s="19">
        <v>2.521926422841775</v>
      </c>
      <c r="AA13" s="19">
        <v>2.521926422841775</v>
      </c>
      <c r="AB13" s="19">
        <v>2.521926422841775</v>
      </c>
      <c r="AC13" s="19">
        <v>2.521926422841775</v>
      </c>
      <c r="AD13" s="19">
        <v>2.521926422841775</v>
      </c>
      <c r="AE13" s="19">
        <v>2.521926422841775</v>
      </c>
      <c r="AF13" s="19">
        <v>2.521926422841775</v>
      </c>
      <c r="AG13" s="19">
        <v>2.521926422841775</v>
      </c>
      <c r="AH13" s="19">
        <v>2.521926422841775</v>
      </c>
      <c r="AI13" s="19">
        <v>2.521926422841775</v>
      </c>
      <c r="AJ13" s="19">
        <v>2.521926422841775</v>
      </c>
      <c r="AK13" s="19">
        <v>2.521926422841775</v>
      </c>
      <c r="AL13" s="19">
        <v>2.521926422841775</v>
      </c>
      <c r="AM13" s="19">
        <v>2.521926422841775</v>
      </c>
      <c r="AN13" s="19">
        <v>2.521926422841775</v>
      </c>
      <c r="AO13" s="19">
        <v>2.521926422841775</v>
      </c>
      <c r="AP13" s="19">
        <v>2.521926422841775</v>
      </c>
      <c r="AQ13" s="19">
        <v>2.521926422841775</v>
      </c>
      <c r="AR13" s="19">
        <v>2.521926422841775</v>
      </c>
      <c r="AS13" s="19">
        <v>2.521926422841775</v>
      </c>
      <c r="AT13" s="19">
        <v>2.521926422841775</v>
      </c>
      <c r="AU13" s="19">
        <v>2.521926422841775</v>
      </c>
      <c r="AV13" s="19">
        <v>2.521926422841775</v>
      </c>
      <c r="AW13" s="19">
        <v>2.521926422841775</v>
      </c>
      <c r="AX13" s="19">
        <v>2.521926422841775</v>
      </c>
      <c r="AY13" s="19">
        <v>2.521926422841775</v>
      </c>
      <c r="AZ13" s="19">
        <v>2.521926422841775</v>
      </c>
      <c r="BA13" s="19">
        <v>2.521926422841775</v>
      </c>
      <c r="BB13" s="19">
        <v>2.521926422841775</v>
      </c>
      <c r="BC13" s="19">
        <v>2.521926422841775</v>
      </c>
      <c r="BD13" s="19">
        <v>2.521926422841775</v>
      </c>
      <c r="BE13" s="19">
        <v>2.521926422841775</v>
      </c>
      <c r="BF13" s="19">
        <v>2.521926422841775</v>
      </c>
      <c r="BG13" s="19">
        <v>2.521926422841775</v>
      </c>
      <c r="BH13" s="19">
        <v>2.521926422841775</v>
      </c>
      <c r="BI13" s="19">
        <v>2.521926422841775</v>
      </c>
      <c r="BJ13" s="19">
        <v>2.521926422841775</v>
      </c>
      <c r="BK13" s="19">
        <v>2.521926422841775</v>
      </c>
      <c r="BL13" s="19">
        <v>2.521926422841775</v>
      </c>
      <c r="BM13" s="19">
        <v>2.521926422841775</v>
      </c>
      <c r="BN13" s="19">
        <v>2.521926422841775</v>
      </c>
      <c r="BO13" s="19">
        <v>2.521926422841775</v>
      </c>
      <c r="BP13" s="19">
        <v>2.521926422841775</v>
      </c>
      <c r="BQ13" s="19">
        <v>2.521926422841775</v>
      </c>
      <c r="BR13" s="19">
        <v>2.521926422841775</v>
      </c>
      <c r="BS13" s="19">
        <v>2.521926422841775</v>
      </c>
      <c r="BT13" s="19">
        <v>2.521926422841775</v>
      </c>
      <c r="BU13" s="19">
        <v>2.521926422841775</v>
      </c>
      <c r="BV13" s="19">
        <v>2.521926422841775</v>
      </c>
      <c r="BW13" s="19">
        <v>2.521926422841775</v>
      </c>
      <c r="BX13" s="19">
        <v>2.521926422841775</v>
      </c>
      <c r="BY13" s="19">
        <v>2.521926422841775</v>
      </c>
      <c r="BZ13" s="19">
        <v>2.521926422841775</v>
      </c>
      <c r="CA13" s="19">
        <v>2.521926422841775</v>
      </c>
      <c r="CB13" s="19">
        <v>2.521926422841775</v>
      </c>
      <c r="CC13" s="19">
        <v>2.521926422841775</v>
      </c>
      <c r="CD13" s="19">
        <v>2.521926422841775</v>
      </c>
      <c r="CE13" s="19">
        <v>2.521926422841775</v>
      </c>
      <c r="CF13" s="19">
        <v>2.521926422841775</v>
      </c>
      <c r="CG13" s="19">
        <v>2.521926422841775</v>
      </c>
      <c r="CH13" s="19">
        <v>2.521926422841775</v>
      </c>
      <c r="CI13" s="19">
        <v>2.521926422841775</v>
      </c>
      <c r="CJ13" s="19">
        <v>2.521926422841775</v>
      </c>
      <c r="CK13" s="19">
        <v>2.521926422841775</v>
      </c>
      <c r="CL13" s="19">
        <v>2.521926422841775</v>
      </c>
      <c r="CM13" s="19">
        <v>2.521926422841775</v>
      </c>
      <c r="CN13" s="19">
        <v>2.521926422841775</v>
      </c>
      <c r="CO13" s="19">
        <v>2.521926422841775</v>
      </c>
    </row>
    <row r="14" spans="1:93" s="6" customFormat="1" x14ac:dyDescent="0.2">
      <c r="A14" s="4" t="s">
        <v>35</v>
      </c>
      <c r="B14" s="5" t="s">
        <v>26</v>
      </c>
      <c r="C14" s="19">
        <v>1.2671404468401617</v>
      </c>
      <c r="D14" s="19">
        <v>1.2769157995959106</v>
      </c>
      <c r="E14" s="19">
        <v>1.2866911523516591</v>
      </c>
      <c r="F14" s="19">
        <v>1.2964665051074076</v>
      </c>
      <c r="G14" s="19">
        <v>1.3062418578631561</v>
      </c>
      <c r="H14" s="19">
        <v>1.3160172106189045</v>
      </c>
      <c r="I14" s="19">
        <v>1.3257925633746535</v>
      </c>
      <c r="J14" s="19">
        <v>1.3355679161304024</v>
      </c>
      <c r="K14" s="19">
        <v>1.3453432688861511</v>
      </c>
      <c r="L14" s="19">
        <v>1.3551186216418993</v>
      </c>
      <c r="M14" s="19">
        <v>1.3648939743976478</v>
      </c>
      <c r="N14" s="19">
        <v>1.3746693271533963</v>
      </c>
      <c r="O14" s="19">
        <v>1.384444679909145</v>
      </c>
      <c r="P14" s="19">
        <v>1.3942200326648935</v>
      </c>
      <c r="Q14" s="19">
        <v>1.4039953854206417</v>
      </c>
      <c r="R14" s="19">
        <v>1.4137707381763902</v>
      </c>
      <c r="S14" s="19">
        <v>1.4235460909321391</v>
      </c>
      <c r="T14" s="19">
        <v>1.4333214436878876</v>
      </c>
      <c r="U14" s="19">
        <v>1.4430967964436359</v>
      </c>
      <c r="V14" s="19">
        <v>1.4528721491993846</v>
      </c>
      <c r="W14" s="26">
        <v>1.4626475019551335</v>
      </c>
      <c r="X14" s="19">
        <v>1.4626475019551335</v>
      </c>
      <c r="Y14" s="19">
        <v>1.4626475019551335</v>
      </c>
      <c r="Z14" s="19">
        <v>1.4626475019551335</v>
      </c>
      <c r="AA14" s="19">
        <v>1.4626475019551335</v>
      </c>
      <c r="AB14" s="19">
        <v>1.4626475019551335</v>
      </c>
      <c r="AC14" s="19">
        <v>1.4626475019551335</v>
      </c>
      <c r="AD14" s="19">
        <v>1.4626475019551335</v>
      </c>
      <c r="AE14" s="19">
        <v>1.4626475019551335</v>
      </c>
      <c r="AF14" s="19">
        <v>1.4626475019551335</v>
      </c>
      <c r="AG14" s="19">
        <v>1.4626475019551335</v>
      </c>
      <c r="AH14" s="19">
        <v>1.4626475019551335</v>
      </c>
      <c r="AI14" s="19">
        <v>1.4626475019551335</v>
      </c>
      <c r="AJ14" s="19">
        <v>1.4626475019551335</v>
      </c>
      <c r="AK14" s="19">
        <v>1.4626475019551335</v>
      </c>
      <c r="AL14" s="19">
        <v>1.4626475019551335</v>
      </c>
      <c r="AM14" s="19">
        <v>1.4626475019551335</v>
      </c>
      <c r="AN14" s="19">
        <v>1.4626475019551335</v>
      </c>
      <c r="AO14" s="19">
        <v>1.4626475019551335</v>
      </c>
      <c r="AP14" s="19">
        <v>1.4626475019551335</v>
      </c>
      <c r="AQ14" s="19">
        <v>1.4626475019551335</v>
      </c>
      <c r="AR14" s="19">
        <v>1.4626475019551335</v>
      </c>
      <c r="AS14" s="19">
        <v>1.4626475019551335</v>
      </c>
      <c r="AT14" s="19">
        <v>1.4626475019551335</v>
      </c>
      <c r="AU14" s="19">
        <v>1.4626475019551335</v>
      </c>
      <c r="AV14" s="19">
        <v>1.4626475019551335</v>
      </c>
      <c r="AW14" s="19">
        <v>1.4626475019551335</v>
      </c>
      <c r="AX14" s="19">
        <v>1.4626475019551335</v>
      </c>
      <c r="AY14" s="19">
        <v>1.4626475019551335</v>
      </c>
      <c r="AZ14" s="19">
        <v>1.4626475019551335</v>
      </c>
      <c r="BA14" s="19">
        <v>1.4626475019551335</v>
      </c>
      <c r="BB14" s="19">
        <v>1.4626475019551335</v>
      </c>
      <c r="BC14" s="19">
        <v>1.4626475019551335</v>
      </c>
      <c r="BD14" s="19">
        <v>1.4626475019551335</v>
      </c>
      <c r="BE14" s="19">
        <v>1.4626475019551335</v>
      </c>
      <c r="BF14" s="19">
        <v>1.4626475019551335</v>
      </c>
      <c r="BG14" s="19">
        <v>1.4626475019551335</v>
      </c>
      <c r="BH14" s="19">
        <v>1.4626475019551335</v>
      </c>
      <c r="BI14" s="19">
        <v>1.4626475019551335</v>
      </c>
      <c r="BJ14" s="19">
        <v>1.4626475019551335</v>
      </c>
      <c r="BK14" s="19">
        <v>1.4626475019551335</v>
      </c>
      <c r="BL14" s="19">
        <v>1.4626475019551335</v>
      </c>
      <c r="BM14" s="19">
        <v>1.4626475019551335</v>
      </c>
      <c r="BN14" s="19">
        <v>1.4626475019551335</v>
      </c>
      <c r="BO14" s="19">
        <v>1.4626475019551335</v>
      </c>
      <c r="BP14" s="19">
        <v>1.4626475019551335</v>
      </c>
      <c r="BQ14" s="19">
        <v>1.4626475019551335</v>
      </c>
      <c r="BR14" s="19">
        <v>1.4626475019551335</v>
      </c>
      <c r="BS14" s="19">
        <v>1.4626475019551335</v>
      </c>
      <c r="BT14" s="19">
        <v>1.4626475019551335</v>
      </c>
      <c r="BU14" s="19">
        <v>1.4626475019551335</v>
      </c>
      <c r="BV14" s="19">
        <v>1.4626475019551335</v>
      </c>
      <c r="BW14" s="19">
        <v>1.4626475019551335</v>
      </c>
      <c r="BX14" s="19">
        <v>1.4626475019551335</v>
      </c>
      <c r="BY14" s="19">
        <v>1.4626475019551335</v>
      </c>
      <c r="BZ14" s="19">
        <v>1.4626475019551335</v>
      </c>
      <c r="CA14" s="19">
        <v>1.4626475019551335</v>
      </c>
      <c r="CB14" s="19">
        <v>1.4626475019551335</v>
      </c>
      <c r="CC14" s="19">
        <v>1.4626475019551335</v>
      </c>
      <c r="CD14" s="19">
        <v>1.4626475019551335</v>
      </c>
      <c r="CE14" s="19">
        <v>1.4626475019551335</v>
      </c>
      <c r="CF14" s="19">
        <v>1.4626475019551335</v>
      </c>
      <c r="CG14" s="19">
        <v>1.4626475019551335</v>
      </c>
      <c r="CH14" s="19">
        <v>1.4626475019551335</v>
      </c>
      <c r="CI14" s="19">
        <v>1.4626475019551335</v>
      </c>
      <c r="CJ14" s="19">
        <v>1.4626475019551335</v>
      </c>
      <c r="CK14" s="19">
        <v>1.4626475019551335</v>
      </c>
      <c r="CL14" s="19">
        <v>1.4626475019551335</v>
      </c>
      <c r="CM14" s="19">
        <v>1.4626475019551335</v>
      </c>
      <c r="CN14" s="19">
        <v>1.4626475019551335</v>
      </c>
      <c r="CO14" s="19">
        <v>1.4626475019551335</v>
      </c>
    </row>
    <row r="15" spans="1:93" s="6" customFormat="1" x14ac:dyDescent="0.2">
      <c r="A15" s="4" t="s">
        <v>36</v>
      </c>
      <c r="B15" s="5" t="s">
        <v>26</v>
      </c>
      <c r="C15" s="19">
        <v>1.1686767641432243</v>
      </c>
      <c r="D15" s="19">
        <v>1.1729845321570744</v>
      </c>
      <c r="E15" s="19">
        <v>1.1773306735379396</v>
      </c>
      <c r="F15" s="19">
        <v>1.1817175199133454</v>
      </c>
      <c r="G15" s="19">
        <v>1.1861474080712757</v>
      </c>
      <c r="H15" s="19">
        <v>1.1906226989113713</v>
      </c>
      <c r="I15" s="19">
        <v>1.19514579305979</v>
      </c>
      <c r="J15" s="19">
        <v>1.1997191440531345</v>
      </c>
      <c r="K15" s="19">
        <v>1.2043452697428352</v>
      </c>
      <c r="L15" s="19">
        <v>1.2090267623955979</v>
      </c>
      <c r="M15" s="19">
        <v>1.2137662978421799</v>
      </c>
      <c r="N15" s="19">
        <v>1.2185666439389984</v>
      </c>
      <c r="O15" s="19">
        <v>1.2234306685439784</v>
      </c>
      <c r="P15" s="19">
        <v>1.2283613471620778</v>
      </c>
      <c r="Q15" s="19">
        <v>1.2333617703822184</v>
      </c>
      <c r="R15" s="19">
        <v>1.2384351512023237</v>
      </c>
      <c r="S15" s="19">
        <v>1.2435848323204908</v>
      </c>
      <c r="T15" s="19">
        <v>1.2488142934563056</v>
      </c>
      <c r="U15" s="19">
        <v>1.2541271587556817</v>
      </c>
      <c r="V15" s="19">
        <v>1.2595272043245811</v>
      </c>
      <c r="W15" s="26">
        <v>1.2650183659308574</v>
      </c>
      <c r="X15" s="26">
        <v>1.2650183659308574</v>
      </c>
      <c r="Y15" s="26">
        <v>1.2650183659308574</v>
      </c>
      <c r="Z15" s="26">
        <v>1.2650183659308574</v>
      </c>
      <c r="AA15" s="26">
        <v>1.2650183659308574</v>
      </c>
      <c r="AB15" s="26">
        <v>1.2650183659308574</v>
      </c>
      <c r="AC15" s="26">
        <v>1.2650183659308574</v>
      </c>
      <c r="AD15" s="26">
        <v>1.2650183659308574</v>
      </c>
      <c r="AE15" s="26">
        <v>1.2650183659308574</v>
      </c>
      <c r="AF15" s="26">
        <v>1.2650183659308574</v>
      </c>
      <c r="AG15" s="26">
        <v>1.2650183659308574</v>
      </c>
      <c r="AH15" s="26">
        <v>1.2650183659308574</v>
      </c>
      <c r="AI15" s="26">
        <v>1.2650183659308574</v>
      </c>
      <c r="AJ15" s="26">
        <v>1.2650183659308574</v>
      </c>
      <c r="AK15" s="26">
        <v>1.2650183659308574</v>
      </c>
      <c r="AL15" s="26">
        <v>1.2650183659308574</v>
      </c>
      <c r="AM15" s="26">
        <v>1.2650183659308574</v>
      </c>
      <c r="AN15" s="26">
        <v>1.2650183659308574</v>
      </c>
      <c r="AO15" s="26">
        <v>1.2650183659308574</v>
      </c>
      <c r="AP15" s="26">
        <v>1.2650183659308574</v>
      </c>
      <c r="AQ15" s="26">
        <v>1.2650183659308574</v>
      </c>
      <c r="AR15" s="26">
        <v>1.2650183659308574</v>
      </c>
      <c r="AS15" s="26">
        <v>1.2650183659308574</v>
      </c>
      <c r="AT15" s="26">
        <v>1.2650183659308574</v>
      </c>
      <c r="AU15" s="26">
        <v>1.2650183659308574</v>
      </c>
      <c r="AV15" s="26">
        <v>1.2650183659308574</v>
      </c>
      <c r="AW15" s="26">
        <v>1.2650183659308574</v>
      </c>
      <c r="AX15" s="26">
        <v>1.2650183659308574</v>
      </c>
      <c r="AY15" s="26">
        <v>1.2650183659308574</v>
      </c>
      <c r="AZ15" s="26">
        <v>1.2650183659308574</v>
      </c>
      <c r="BA15" s="26">
        <v>1.2650183659308574</v>
      </c>
      <c r="BB15" s="26">
        <v>1.2650183659308574</v>
      </c>
      <c r="BC15" s="26">
        <v>1.2650183659308574</v>
      </c>
      <c r="BD15" s="26">
        <v>1.2650183659308574</v>
      </c>
      <c r="BE15" s="26">
        <v>1.2650183659308574</v>
      </c>
      <c r="BF15" s="26">
        <v>1.2650183659308574</v>
      </c>
      <c r="BG15" s="26">
        <v>1.2650183659308574</v>
      </c>
      <c r="BH15" s="26">
        <v>1.2650183659308574</v>
      </c>
      <c r="BI15" s="26">
        <v>1.2650183659308574</v>
      </c>
      <c r="BJ15" s="26">
        <v>1.2650183659308574</v>
      </c>
      <c r="BK15" s="26">
        <v>1.2650183659308574</v>
      </c>
      <c r="BL15" s="26">
        <v>1.2650183659308574</v>
      </c>
      <c r="BM15" s="26">
        <v>1.2650183659308574</v>
      </c>
      <c r="BN15" s="26">
        <v>1.2650183659308574</v>
      </c>
      <c r="BO15" s="26">
        <v>1.2650183659308574</v>
      </c>
      <c r="BP15" s="26">
        <v>1.2650183659308574</v>
      </c>
      <c r="BQ15" s="26">
        <v>1.2650183659308574</v>
      </c>
      <c r="BR15" s="26">
        <v>1.2650183659308574</v>
      </c>
      <c r="BS15" s="26">
        <v>1.2650183659308574</v>
      </c>
      <c r="BT15" s="26">
        <v>1.2650183659308574</v>
      </c>
      <c r="BU15" s="26">
        <v>1.2650183659308574</v>
      </c>
      <c r="BV15" s="26">
        <v>1.2650183659308574</v>
      </c>
      <c r="BW15" s="26">
        <v>1.2650183659308574</v>
      </c>
      <c r="BX15" s="26">
        <v>1.2650183659308574</v>
      </c>
      <c r="BY15" s="26">
        <v>1.2650183659308574</v>
      </c>
      <c r="BZ15" s="26">
        <v>1.2650183659308574</v>
      </c>
      <c r="CA15" s="26">
        <v>1.2650183659308574</v>
      </c>
      <c r="CB15" s="26">
        <v>1.2650183659308574</v>
      </c>
      <c r="CC15" s="26">
        <v>1.2650183659308574</v>
      </c>
      <c r="CD15" s="26">
        <v>1.2650183659308574</v>
      </c>
      <c r="CE15" s="26">
        <v>1.2650183659308574</v>
      </c>
      <c r="CF15" s="26">
        <v>1.2650183659308574</v>
      </c>
      <c r="CG15" s="26">
        <v>1.2650183659308574</v>
      </c>
      <c r="CH15" s="26">
        <v>1.2650183659308574</v>
      </c>
      <c r="CI15" s="26">
        <v>1.2650183659308574</v>
      </c>
      <c r="CJ15" s="26">
        <v>1.2650183659308574</v>
      </c>
      <c r="CK15" s="26">
        <v>1.2650183659308574</v>
      </c>
      <c r="CL15" s="26">
        <v>1.2650183659308574</v>
      </c>
      <c r="CM15" s="26">
        <v>1.2650183659308574</v>
      </c>
      <c r="CN15" s="26">
        <v>1.2650183659308574</v>
      </c>
      <c r="CO15" s="26">
        <v>1.2650183659308574</v>
      </c>
    </row>
    <row r="16" spans="1:93" s="6" customFormat="1" x14ac:dyDescent="0.2">
      <c r="A16" s="4" t="s">
        <v>37</v>
      </c>
      <c r="B16" s="5" t="s">
        <v>26</v>
      </c>
      <c r="C16" s="19">
        <v>1.1686767641432243</v>
      </c>
      <c r="D16" s="19">
        <v>1.1729845321570744</v>
      </c>
      <c r="E16" s="19">
        <v>1.1773306735379396</v>
      </c>
      <c r="F16" s="19">
        <v>1.1817175199133454</v>
      </c>
      <c r="G16" s="19">
        <v>1.1861474080712757</v>
      </c>
      <c r="H16" s="19">
        <v>1.1906226989113713</v>
      </c>
      <c r="I16" s="19">
        <v>1.19514579305979</v>
      </c>
      <c r="J16" s="19">
        <v>1.1997191440531345</v>
      </c>
      <c r="K16" s="19">
        <v>1.2043452697428352</v>
      </c>
      <c r="L16" s="19">
        <v>1.2090267623955979</v>
      </c>
      <c r="M16" s="19">
        <v>1.2137662978421799</v>
      </c>
      <c r="N16" s="19">
        <v>1.2185666439389984</v>
      </c>
      <c r="O16" s="19">
        <v>1.2234306685439784</v>
      </c>
      <c r="P16" s="19">
        <v>1.2283613471620778</v>
      </c>
      <c r="Q16" s="19">
        <v>1.2333617703822184</v>
      </c>
      <c r="R16" s="19">
        <v>1.2384351512023237</v>
      </c>
      <c r="S16" s="19">
        <v>1.2435848323204908</v>
      </c>
      <c r="T16" s="19">
        <v>1.2488142934563056</v>
      </c>
      <c r="U16" s="19">
        <v>1.2541271587556817</v>
      </c>
      <c r="V16" s="19">
        <v>1.2595272043245811</v>
      </c>
      <c r="W16" s="26">
        <v>1.2650183659308574</v>
      </c>
      <c r="X16" s="26">
        <v>1.2650183659308574</v>
      </c>
      <c r="Y16" s="26">
        <v>1.2650183659308574</v>
      </c>
      <c r="Z16" s="26">
        <v>1.2650183659308574</v>
      </c>
      <c r="AA16" s="26">
        <v>1.2650183659308574</v>
      </c>
      <c r="AB16" s="26">
        <v>1.2650183659308574</v>
      </c>
      <c r="AC16" s="26">
        <v>1.2650183659308574</v>
      </c>
      <c r="AD16" s="26">
        <v>1.2650183659308574</v>
      </c>
      <c r="AE16" s="26">
        <v>1.2650183659308574</v>
      </c>
      <c r="AF16" s="26">
        <v>1.2650183659308574</v>
      </c>
      <c r="AG16" s="26">
        <v>1.2650183659308574</v>
      </c>
      <c r="AH16" s="26">
        <v>1.2650183659308574</v>
      </c>
      <c r="AI16" s="26">
        <v>1.2650183659308574</v>
      </c>
      <c r="AJ16" s="26">
        <v>1.2650183659308574</v>
      </c>
      <c r="AK16" s="26">
        <v>1.2650183659308574</v>
      </c>
      <c r="AL16" s="26">
        <v>1.2650183659308574</v>
      </c>
      <c r="AM16" s="26">
        <v>1.2650183659308574</v>
      </c>
      <c r="AN16" s="26">
        <v>1.2650183659308574</v>
      </c>
      <c r="AO16" s="26">
        <v>1.2650183659308574</v>
      </c>
      <c r="AP16" s="26">
        <v>1.2650183659308574</v>
      </c>
      <c r="AQ16" s="26">
        <v>1.2650183659308574</v>
      </c>
      <c r="AR16" s="26">
        <v>1.2650183659308574</v>
      </c>
      <c r="AS16" s="26">
        <v>1.2650183659308574</v>
      </c>
      <c r="AT16" s="26">
        <v>1.2650183659308574</v>
      </c>
      <c r="AU16" s="26">
        <v>1.2650183659308574</v>
      </c>
      <c r="AV16" s="26">
        <v>1.2650183659308574</v>
      </c>
      <c r="AW16" s="26">
        <v>1.2650183659308574</v>
      </c>
      <c r="AX16" s="26">
        <v>1.2650183659308574</v>
      </c>
      <c r="AY16" s="26">
        <v>1.2650183659308574</v>
      </c>
      <c r="AZ16" s="26">
        <v>1.2650183659308574</v>
      </c>
      <c r="BA16" s="26">
        <v>1.2650183659308574</v>
      </c>
      <c r="BB16" s="26">
        <v>1.2650183659308574</v>
      </c>
      <c r="BC16" s="26">
        <v>1.2650183659308574</v>
      </c>
      <c r="BD16" s="26">
        <v>1.2650183659308574</v>
      </c>
      <c r="BE16" s="26">
        <v>1.2650183659308574</v>
      </c>
      <c r="BF16" s="26">
        <v>1.2650183659308574</v>
      </c>
      <c r="BG16" s="26">
        <v>1.2650183659308574</v>
      </c>
      <c r="BH16" s="26">
        <v>1.2650183659308574</v>
      </c>
      <c r="BI16" s="26">
        <v>1.2650183659308574</v>
      </c>
      <c r="BJ16" s="26">
        <v>1.2650183659308574</v>
      </c>
      <c r="BK16" s="26">
        <v>1.2650183659308574</v>
      </c>
      <c r="BL16" s="26">
        <v>1.2650183659308574</v>
      </c>
      <c r="BM16" s="26">
        <v>1.2650183659308574</v>
      </c>
      <c r="BN16" s="26">
        <v>1.2650183659308574</v>
      </c>
      <c r="BO16" s="26">
        <v>1.2650183659308574</v>
      </c>
      <c r="BP16" s="26">
        <v>1.2650183659308574</v>
      </c>
      <c r="BQ16" s="26">
        <v>1.2650183659308574</v>
      </c>
      <c r="BR16" s="26">
        <v>1.2650183659308574</v>
      </c>
      <c r="BS16" s="26">
        <v>1.2650183659308574</v>
      </c>
      <c r="BT16" s="26">
        <v>1.2650183659308574</v>
      </c>
      <c r="BU16" s="26">
        <v>1.2650183659308574</v>
      </c>
      <c r="BV16" s="26">
        <v>1.2650183659308574</v>
      </c>
      <c r="BW16" s="26">
        <v>1.2650183659308574</v>
      </c>
      <c r="BX16" s="26">
        <v>1.2650183659308574</v>
      </c>
      <c r="BY16" s="26">
        <v>1.2650183659308574</v>
      </c>
      <c r="BZ16" s="26">
        <v>1.2650183659308574</v>
      </c>
      <c r="CA16" s="26">
        <v>1.2650183659308574</v>
      </c>
      <c r="CB16" s="26">
        <v>1.2650183659308574</v>
      </c>
      <c r="CC16" s="26">
        <v>1.2650183659308574</v>
      </c>
      <c r="CD16" s="26">
        <v>1.2650183659308574</v>
      </c>
      <c r="CE16" s="26">
        <v>1.2650183659308574</v>
      </c>
      <c r="CF16" s="26">
        <v>1.2650183659308574</v>
      </c>
      <c r="CG16" s="26">
        <v>1.2650183659308574</v>
      </c>
      <c r="CH16" s="26">
        <v>1.2650183659308574</v>
      </c>
      <c r="CI16" s="26">
        <v>1.2650183659308574</v>
      </c>
      <c r="CJ16" s="26">
        <v>1.2650183659308574</v>
      </c>
      <c r="CK16" s="26">
        <v>1.2650183659308574</v>
      </c>
      <c r="CL16" s="26">
        <v>1.2650183659308574</v>
      </c>
      <c r="CM16" s="26">
        <v>1.2650183659308574</v>
      </c>
      <c r="CN16" s="26">
        <v>1.2650183659308574</v>
      </c>
      <c r="CO16" s="26">
        <v>1.2650183659308574</v>
      </c>
    </row>
    <row r="17" spans="1:112" x14ac:dyDescent="0.2">
      <c r="A17" s="7"/>
      <c r="C17" s="19"/>
      <c r="D17" s="19"/>
      <c r="E17" s="19"/>
      <c r="F17" s="19"/>
      <c r="G17" s="19"/>
      <c r="H17" s="19"/>
      <c r="I17" s="19"/>
      <c r="J17" s="19"/>
      <c r="K17" s="19"/>
      <c r="L17" s="19"/>
      <c r="M17" s="19"/>
      <c r="N17" s="19"/>
      <c r="O17" s="19"/>
      <c r="P17" s="19"/>
      <c r="Q17" s="19"/>
      <c r="R17" s="19"/>
      <c r="S17" s="19"/>
      <c r="T17" s="19"/>
      <c r="U17" s="19"/>
      <c r="V17" s="19"/>
      <c r="W17" s="26"/>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row>
    <row r="18" spans="1:112" x14ac:dyDescent="0.2">
      <c r="A18" s="4" t="s">
        <v>38</v>
      </c>
      <c r="B18" s="5" t="s">
        <v>26</v>
      </c>
      <c r="C18" s="19">
        <v>2.5522912614733682</v>
      </c>
      <c r="D18" s="19">
        <v>2.5522912614733682</v>
      </c>
      <c r="E18" s="19">
        <v>2.5522912614733682</v>
      </c>
      <c r="F18" s="19">
        <v>2.5522912614733682</v>
      </c>
      <c r="G18" s="19">
        <v>2.5522912614733682</v>
      </c>
      <c r="H18" s="19">
        <v>2.5522912614733682</v>
      </c>
      <c r="I18" s="19">
        <v>2.5522912614733682</v>
      </c>
      <c r="J18" s="19">
        <v>2.5522912614733682</v>
      </c>
      <c r="K18" s="19">
        <v>2.5522912614733682</v>
      </c>
      <c r="L18" s="19">
        <v>2.5522912614733682</v>
      </c>
      <c r="M18" s="19">
        <v>2.5522912614733682</v>
      </c>
      <c r="N18" s="19">
        <v>2.5522912614733682</v>
      </c>
      <c r="O18" s="19">
        <v>2.5522912614733682</v>
      </c>
      <c r="P18" s="19">
        <v>2.5522912614733682</v>
      </c>
      <c r="Q18" s="19">
        <v>2.5522912614733682</v>
      </c>
      <c r="R18" s="19">
        <v>2.5522912614733682</v>
      </c>
      <c r="S18" s="19">
        <v>2.5522912614733682</v>
      </c>
      <c r="T18" s="19">
        <v>2.5522912614733682</v>
      </c>
      <c r="U18" s="19">
        <v>2.5522912614733682</v>
      </c>
      <c r="V18" s="19">
        <v>2.5522912614733682</v>
      </c>
      <c r="W18" s="26">
        <v>2.5522912614733682</v>
      </c>
      <c r="X18" s="19">
        <v>2.5522912614733682</v>
      </c>
      <c r="Y18" s="19">
        <v>2.5522912614733682</v>
      </c>
      <c r="Z18" s="19">
        <v>2.5522912614733682</v>
      </c>
      <c r="AA18" s="19">
        <v>2.5522912614733682</v>
      </c>
      <c r="AB18" s="19">
        <v>2.5522912614733682</v>
      </c>
      <c r="AC18" s="19">
        <v>2.5522912614733682</v>
      </c>
      <c r="AD18" s="19">
        <v>2.5522912614733682</v>
      </c>
      <c r="AE18" s="19">
        <v>2.5522912614733682</v>
      </c>
      <c r="AF18" s="19">
        <v>2.5522912614733682</v>
      </c>
      <c r="AG18" s="19">
        <v>2.5522912614733682</v>
      </c>
      <c r="AH18" s="19">
        <v>2.5522912614733682</v>
      </c>
      <c r="AI18" s="19">
        <v>2.5522912614733682</v>
      </c>
      <c r="AJ18" s="19">
        <v>2.5522912614733682</v>
      </c>
      <c r="AK18" s="19">
        <v>2.5522912614733682</v>
      </c>
      <c r="AL18" s="19">
        <v>2.5522912614733682</v>
      </c>
      <c r="AM18" s="19">
        <v>2.5522912614733682</v>
      </c>
      <c r="AN18" s="19">
        <v>2.5522912614733682</v>
      </c>
      <c r="AO18" s="19">
        <v>2.5522912614733682</v>
      </c>
      <c r="AP18" s="19">
        <v>2.5522912614733682</v>
      </c>
      <c r="AQ18" s="19">
        <v>2.5522912614733682</v>
      </c>
      <c r="AR18" s="19">
        <v>2.5522912614733682</v>
      </c>
      <c r="AS18" s="19">
        <v>2.5522912614733682</v>
      </c>
      <c r="AT18" s="19">
        <v>2.5522912614733682</v>
      </c>
      <c r="AU18" s="19">
        <v>2.5522912614733682</v>
      </c>
      <c r="AV18" s="19">
        <v>2.5522912614733682</v>
      </c>
      <c r="AW18" s="19">
        <v>2.5522912614733682</v>
      </c>
      <c r="AX18" s="19">
        <v>2.5522912614733682</v>
      </c>
      <c r="AY18" s="19">
        <v>2.5522912614733682</v>
      </c>
      <c r="AZ18" s="19">
        <v>2.5522912614733682</v>
      </c>
      <c r="BA18" s="19">
        <v>2.5522912614733682</v>
      </c>
      <c r="BB18" s="21">
        <v>2.5522912614733682</v>
      </c>
      <c r="BC18" s="21">
        <v>2.5522912614733682</v>
      </c>
      <c r="BD18" s="21">
        <v>2.5522912614733682</v>
      </c>
      <c r="BE18" s="21">
        <v>2.5522912614733682</v>
      </c>
      <c r="BF18" s="21">
        <v>2.5522912614733682</v>
      </c>
      <c r="BG18" s="21">
        <v>2.5522912614733682</v>
      </c>
      <c r="BH18" s="21">
        <v>2.5522912614733682</v>
      </c>
      <c r="BI18" s="21">
        <v>2.5522912614733682</v>
      </c>
      <c r="BJ18" s="21">
        <v>2.5522912614733682</v>
      </c>
      <c r="BK18" s="21">
        <v>2.5522912614733682</v>
      </c>
      <c r="BL18" s="21">
        <v>2.5522912614733682</v>
      </c>
      <c r="BM18" s="21">
        <v>2.5522912614733682</v>
      </c>
      <c r="BN18" s="21">
        <v>2.5522912614733682</v>
      </c>
      <c r="BO18" s="21">
        <v>2.5522912614733682</v>
      </c>
      <c r="BP18" s="21">
        <v>2.5522912614733682</v>
      </c>
      <c r="BQ18" s="21">
        <v>2.5522912614733682</v>
      </c>
      <c r="BR18" s="21">
        <v>2.5522912614733682</v>
      </c>
      <c r="BS18" s="21">
        <v>2.5522912614733682</v>
      </c>
      <c r="BT18" s="21">
        <v>2.5522912614733682</v>
      </c>
      <c r="BU18" s="21">
        <v>2.5522912614733682</v>
      </c>
      <c r="BV18" s="21">
        <v>2.5522912614733682</v>
      </c>
      <c r="BW18" s="21">
        <v>2.5522912614733682</v>
      </c>
      <c r="BX18" s="21">
        <v>2.5522912614733682</v>
      </c>
      <c r="BY18" s="21">
        <v>2.5522912614733682</v>
      </c>
      <c r="BZ18" s="21">
        <v>2.5522912614733682</v>
      </c>
      <c r="CA18" s="21">
        <v>2.5522912614733682</v>
      </c>
      <c r="CB18" s="21">
        <v>2.5522912614733682</v>
      </c>
      <c r="CC18" s="21">
        <v>2.5522912614733682</v>
      </c>
      <c r="CD18" s="21">
        <v>2.5522912614733682</v>
      </c>
      <c r="CE18" s="21">
        <v>2.5522912614733682</v>
      </c>
      <c r="CF18" s="21">
        <v>2.5522912614733682</v>
      </c>
      <c r="CG18" s="21">
        <v>2.5522912614733682</v>
      </c>
      <c r="CH18" s="21">
        <v>2.5522912614733682</v>
      </c>
      <c r="CI18" s="21">
        <v>2.5522912614733682</v>
      </c>
      <c r="CJ18" s="21">
        <v>2.5522912614733682</v>
      </c>
      <c r="CK18" s="21">
        <v>2.5522912614733682</v>
      </c>
      <c r="CL18" s="21">
        <v>2.5522912614733682</v>
      </c>
      <c r="CM18" s="21">
        <v>2.5522912614733682</v>
      </c>
      <c r="CN18" s="21">
        <v>2.5522912614733682</v>
      </c>
      <c r="CO18" s="21">
        <v>2.5522912614733682</v>
      </c>
      <c r="CP18" s="21"/>
      <c r="CQ18" s="21"/>
      <c r="CR18" s="21"/>
      <c r="CS18" s="21"/>
      <c r="CT18" s="21"/>
      <c r="CU18" s="21"/>
      <c r="CV18" s="21"/>
      <c r="CW18" s="21"/>
      <c r="CX18" s="21"/>
      <c r="CY18" s="21"/>
      <c r="CZ18" s="21"/>
      <c r="DA18" s="21"/>
      <c r="DB18" s="21"/>
      <c r="DC18" s="21"/>
      <c r="DD18" s="21"/>
      <c r="DE18" s="21"/>
      <c r="DF18" s="21"/>
      <c r="DG18" s="21"/>
      <c r="DH18" s="21"/>
    </row>
    <row r="19" spans="1:112" x14ac:dyDescent="0.2">
      <c r="A19" s="4" t="s">
        <v>39</v>
      </c>
      <c r="B19" s="5" t="s">
        <v>26</v>
      </c>
      <c r="C19" s="19">
        <v>0.91104514279864879</v>
      </c>
      <c r="D19" s="19">
        <v>0.91104514279864879</v>
      </c>
      <c r="E19" s="19">
        <v>0.91104514279864879</v>
      </c>
      <c r="F19" s="19">
        <v>0.91104514279864879</v>
      </c>
      <c r="G19" s="19">
        <v>0.91104514279864879</v>
      </c>
      <c r="H19" s="19">
        <v>0.91104514279864879</v>
      </c>
      <c r="I19" s="19">
        <v>0.91104514279864879</v>
      </c>
      <c r="J19" s="19">
        <v>0.91104514279864879</v>
      </c>
      <c r="K19" s="19">
        <v>0.91104514279864879</v>
      </c>
      <c r="L19" s="19">
        <v>0.91104514279864879</v>
      </c>
      <c r="M19" s="19">
        <v>0.91104514279864879</v>
      </c>
      <c r="N19" s="19">
        <v>0.91104514279864879</v>
      </c>
      <c r="O19" s="19">
        <v>0.91104514279864879</v>
      </c>
      <c r="P19" s="19">
        <v>0.91104514279864879</v>
      </c>
      <c r="Q19" s="19">
        <v>0.91104514279864879</v>
      </c>
      <c r="R19" s="19">
        <v>0.91104514279864879</v>
      </c>
      <c r="S19" s="19">
        <v>0.91104514279864879</v>
      </c>
      <c r="T19" s="19">
        <v>0.91104514279864879</v>
      </c>
      <c r="U19" s="19">
        <v>0.91104514279864879</v>
      </c>
      <c r="V19" s="19">
        <v>0.91104514279864879</v>
      </c>
      <c r="W19" s="26">
        <v>0.91104514279864879</v>
      </c>
      <c r="X19" s="19">
        <v>0.91104514279864879</v>
      </c>
      <c r="Y19" s="19">
        <v>0.91104514279864879</v>
      </c>
      <c r="Z19" s="19">
        <v>0.91104514279864879</v>
      </c>
      <c r="AA19" s="19">
        <v>0.91104514279864879</v>
      </c>
      <c r="AB19" s="19">
        <v>0.91104514279864879</v>
      </c>
      <c r="AC19" s="19">
        <v>0.91104514279864879</v>
      </c>
      <c r="AD19" s="19">
        <v>0.91104514279864879</v>
      </c>
      <c r="AE19" s="19">
        <v>0.91104514279864879</v>
      </c>
      <c r="AF19" s="19">
        <v>0.91104514279864879</v>
      </c>
      <c r="AG19" s="19">
        <v>0.91104514279864879</v>
      </c>
      <c r="AH19" s="19">
        <v>0.91104514279864879</v>
      </c>
      <c r="AI19" s="19">
        <v>0.91104514279864879</v>
      </c>
      <c r="AJ19" s="19">
        <v>0.91104514279864879</v>
      </c>
      <c r="AK19" s="19">
        <v>0.91104514279864879</v>
      </c>
      <c r="AL19" s="19">
        <v>0.91104514279864879</v>
      </c>
      <c r="AM19" s="19">
        <v>0.91104514279864879</v>
      </c>
      <c r="AN19" s="19">
        <v>0.91104514279864879</v>
      </c>
      <c r="AO19" s="19">
        <v>0.91104514279864879</v>
      </c>
      <c r="AP19" s="19">
        <v>0.91104514279864879</v>
      </c>
      <c r="AQ19" s="19">
        <v>0.91104514279864879</v>
      </c>
      <c r="AR19" s="19">
        <v>0.91104514279864879</v>
      </c>
      <c r="AS19" s="19">
        <v>0.91104514279864879</v>
      </c>
      <c r="AT19" s="19">
        <v>0.91104514279864879</v>
      </c>
      <c r="AU19" s="19">
        <v>0.91104514279864879</v>
      </c>
      <c r="AV19" s="19">
        <v>0.91104514279864879</v>
      </c>
      <c r="AW19" s="19">
        <v>0.91104514279864879</v>
      </c>
      <c r="AX19" s="19">
        <v>0.91104514279864879</v>
      </c>
      <c r="AY19" s="19">
        <v>0.91104514279864879</v>
      </c>
      <c r="AZ19" s="19">
        <v>0.91104514279864879</v>
      </c>
      <c r="BA19" s="19">
        <v>0.91104514279864879</v>
      </c>
      <c r="BB19" s="21">
        <v>0.91104514279864879</v>
      </c>
      <c r="BC19" s="21">
        <v>0.91104514279864879</v>
      </c>
      <c r="BD19" s="21">
        <v>0.91104514279864879</v>
      </c>
      <c r="BE19" s="21">
        <v>0.91104514279864879</v>
      </c>
      <c r="BF19" s="21">
        <v>0.91104514279864879</v>
      </c>
      <c r="BG19" s="21">
        <v>0.91104514279864879</v>
      </c>
      <c r="BH19" s="21">
        <v>0.91104514279864879</v>
      </c>
      <c r="BI19" s="21">
        <v>0.91104514279864879</v>
      </c>
      <c r="BJ19" s="21">
        <v>0.91104514279864879</v>
      </c>
      <c r="BK19" s="21">
        <v>0.91104514279864879</v>
      </c>
      <c r="BL19" s="21">
        <v>0.91104514279864879</v>
      </c>
      <c r="BM19" s="21">
        <v>0.91104514279864879</v>
      </c>
      <c r="BN19" s="21">
        <v>0.91104514279864879</v>
      </c>
      <c r="BO19" s="21">
        <v>0.91104514279864879</v>
      </c>
      <c r="BP19" s="21">
        <v>0.91104514279864879</v>
      </c>
      <c r="BQ19" s="21">
        <v>0.91104514279864879</v>
      </c>
      <c r="BR19" s="21">
        <v>0.91104514279864879</v>
      </c>
      <c r="BS19" s="21">
        <v>0.91104514279864879</v>
      </c>
      <c r="BT19" s="21">
        <v>0.91104514279864879</v>
      </c>
      <c r="BU19" s="21">
        <v>0.91104514279864879</v>
      </c>
      <c r="BV19" s="21">
        <v>0.91104514279864879</v>
      </c>
      <c r="BW19" s="21">
        <v>0.91104514279864879</v>
      </c>
      <c r="BX19" s="21">
        <v>0.91104514279864879</v>
      </c>
      <c r="BY19" s="21">
        <v>0.91104514279864879</v>
      </c>
      <c r="BZ19" s="21">
        <v>0.91104514279864879</v>
      </c>
      <c r="CA19" s="21">
        <v>0.91104514279864879</v>
      </c>
      <c r="CB19" s="21">
        <v>0.91104514279864879</v>
      </c>
      <c r="CC19" s="21">
        <v>0.91104514279864879</v>
      </c>
      <c r="CD19" s="21">
        <v>0.91104514279864879</v>
      </c>
      <c r="CE19" s="21">
        <v>0.91104514279864879</v>
      </c>
      <c r="CF19" s="21">
        <v>0.91104514279864879</v>
      </c>
      <c r="CG19" s="21">
        <v>0.91104514279864879</v>
      </c>
      <c r="CH19" s="21">
        <v>0.91104514279864879</v>
      </c>
      <c r="CI19" s="21">
        <v>0.91104514279864879</v>
      </c>
      <c r="CJ19" s="21">
        <v>0.91104514279864879</v>
      </c>
      <c r="CK19" s="21">
        <v>0.91104514279864879</v>
      </c>
      <c r="CL19" s="21">
        <v>0.91104514279864879</v>
      </c>
      <c r="CM19" s="21">
        <v>0.91104514279864879</v>
      </c>
      <c r="CN19" s="21">
        <v>0.91104514279864879</v>
      </c>
      <c r="CO19" s="21">
        <v>0.91104514279864879</v>
      </c>
      <c r="CP19" s="21"/>
      <c r="CQ19" s="21"/>
      <c r="CR19" s="21"/>
      <c r="CS19" s="21"/>
      <c r="CT19" s="21"/>
      <c r="CU19" s="21"/>
      <c r="CV19" s="21"/>
      <c r="CW19" s="21"/>
      <c r="CX19" s="21"/>
      <c r="CY19" s="21"/>
      <c r="CZ19" s="21"/>
      <c r="DA19" s="21"/>
      <c r="DB19" s="21"/>
      <c r="DC19" s="21"/>
      <c r="DD19" s="21"/>
      <c r="DE19" s="21"/>
      <c r="DF19" s="21"/>
      <c r="DG19" s="21"/>
      <c r="DH19" s="21"/>
    </row>
    <row r="20" spans="1:112" x14ac:dyDescent="0.2">
      <c r="A20" s="4" t="s">
        <v>40</v>
      </c>
      <c r="B20" s="5" t="s">
        <v>26</v>
      </c>
      <c r="C20" s="19">
        <v>0.69607943494728219</v>
      </c>
      <c r="D20" s="19">
        <v>0.69607943494728219</v>
      </c>
      <c r="E20" s="19">
        <v>0.69607943494728219</v>
      </c>
      <c r="F20" s="19">
        <v>0.69607943494728219</v>
      </c>
      <c r="G20" s="19">
        <v>0.69607943494728219</v>
      </c>
      <c r="H20" s="19">
        <v>0.69607943494728219</v>
      </c>
      <c r="I20" s="19">
        <v>0.69607943494728219</v>
      </c>
      <c r="J20" s="19">
        <v>0.69607943494728219</v>
      </c>
      <c r="K20" s="19">
        <v>0.69607943494728219</v>
      </c>
      <c r="L20" s="19">
        <v>0.69607943494728219</v>
      </c>
      <c r="M20" s="19">
        <v>0.69607943494728219</v>
      </c>
      <c r="N20" s="19">
        <v>0.69607943494728219</v>
      </c>
      <c r="O20" s="19">
        <v>0.69607943494728219</v>
      </c>
      <c r="P20" s="19">
        <v>0.69607943494728219</v>
      </c>
      <c r="Q20" s="19">
        <v>0.69607943494728219</v>
      </c>
      <c r="R20" s="19">
        <v>0.69607943494728219</v>
      </c>
      <c r="S20" s="19">
        <v>0.69607943494728219</v>
      </c>
      <c r="T20" s="19">
        <v>0.69607943494728219</v>
      </c>
      <c r="U20" s="19">
        <v>0.69607943494728219</v>
      </c>
      <c r="V20" s="19">
        <v>0.69607943494728219</v>
      </c>
      <c r="W20" s="26">
        <v>0.69607943494728219</v>
      </c>
      <c r="X20" s="19">
        <v>0.69607943494728219</v>
      </c>
      <c r="Y20" s="19">
        <v>0.69607943494728219</v>
      </c>
      <c r="Z20" s="19">
        <v>0.69607943494728219</v>
      </c>
      <c r="AA20" s="19">
        <v>0.69607943494728219</v>
      </c>
      <c r="AB20" s="19">
        <v>0.69607943494728219</v>
      </c>
      <c r="AC20" s="19">
        <v>0.69607943494728219</v>
      </c>
      <c r="AD20" s="19">
        <v>0.69607943494728219</v>
      </c>
      <c r="AE20" s="19">
        <v>0.69607943494728219</v>
      </c>
      <c r="AF20" s="19">
        <v>0.69607943494728219</v>
      </c>
      <c r="AG20" s="19">
        <v>0.69607943494728219</v>
      </c>
      <c r="AH20" s="19">
        <v>0.69607943494728219</v>
      </c>
      <c r="AI20" s="19">
        <v>0.69607943494728219</v>
      </c>
      <c r="AJ20" s="19">
        <v>0.69607943494728219</v>
      </c>
      <c r="AK20" s="19">
        <v>0.69607943494728219</v>
      </c>
      <c r="AL20" s="19">
        <v>0.69607943494728219</v>
      </c>
      <c r="AM20" s="19">
        <v>0.69607943494728219</v>
      </c>
      <c r="AN20" s="19">
        <v>0.69607943494728219</v>
      </c>
      <c r="AO20" s="19">
        <v>0.69607943494728219</v>
      </c>
      <c r="AP20" s="19">
        <v>0.69607943494728219</v>
      </c>
      <c r="AQ20" s="19">
        <v>0.69607943494728219</v>
      </c>
      <c r="AR20" s="19">
        <v>0.69607943494728219</v>
      </c>
      <c r="AS20" s="19">
        <v>0.69607943494728219</v>
      </c>
      <c r="AT20" s="19">
        <v>0.69607943494728219</v>
      </c>
      <c r="AU20" s="19">
        <v>0.69607943494728219</v>
      </c>
      <c r="AV20" s="19">
        <v>0.69607943494728219</v>
      </c>
      <c r="AW20" s="19">
        <v>0.69607943494728219</v>
      </c>
      <c r="AX20" s="19">
        <v>0.69607943494728219</v>
      </c>
      <c r="AY20" s="19">
        <v>0.69607943494728219</v>
      </c>
      <c r="AZ20" s="19">
        <v>0.69607943494728219</v>
      </c>
      <c r="BA20" s="19">
        <v>0.69607943494728219</v>
      </c>
      <c r="BB20" s="21">
        <v>0.69607943494728219</v>
      </c>
      <c r="BC20" s="21">
        <v>0.69607943494728219</v>
      </c>
      <c r="BD20" s="21">
        <v>0.69607943494728219</v>
      </c>
      <c r="BE20" s="21">
        <v>0.69607943494728219</v>
      </c>
      <c r="BF20" s="21">
        <v>0.69607943494728219</v>
      </c>
      <c r="BG20" s="21">
        <v>0.69607943494728219</v>
      </c>
      <c r="BH20" s="21">
        <v>0.69607943494728219</v>
      </c>
      <c r="BI20" s="21">
        <v>0.69607943494728219</v>
      </c>
      <c r="BJ20" s="21">
        <v>0.69607943494728219</v>
      </c>
      <c r="BK20" s="21">
        <v>0.69607943494728219</v>
      </c>
      <c r="BL20" s="21">
        <v>0.69607943494728219</v>
      </c>
      <c r="BM20" s="21">
        <v>0.69607943494728219</v>
      </c>
      <c r="BN20" s="21">
        <v>0.69607943494728219</v>
      </c>
      <c r="BO20" s="21">
        <v>0.69607943494728219</v>
      </c>
      <c r="BP20" s="21">
        <v>0.69607943494728219</v>
      </c>
      <c r="BQ20" s="21">
        <v>0.69607943494728219</v>
      </c>
      <c r="BR20" s="21">
        <v>0.69607943494728219</v>
      </c>
      <c r="BS20" s="21">
        <v>0.69607943494728219</v>
      </c>
      <c r="BT20" s="21">
        <v>0.69607943494728219</v>
      </c>
      <c r="BU20" s="21">
        <v>0.69607943494728219</v>
      </c>
      <c r="BV20" s="21">
        <v>0.69607943494728219</v>
      </c>
      <c r="BW20" s="21">
        <v>0.69607943494728219</v>
      </c>
      <c r="BX20" s="21">
        <v>0.69607943494728219</v>
      </c>
      <c r="BY20" s="21">
        <v>0.69607943494728219</v>
      </c>
      <c r="BZ20" s="21">
        <v>0.69607943494728219</v>
      </c>
      <c r="CA20" s="21">
        <v>0.69607943494728219</v>
      </c>
      <c r="CB20" s="21">
        <v>0.69607943494728219</v>
      </c>
      <c r="CC20" s="21">
        <v>0.69607943494728219</v>
      </c>
      <c r="CD20" s="21">
        <v>0.69607943494728219</v>
      </c>
      <c r="CE20" s="21">
        <v>0.69607943494728219</v>
      </c>
      <c r="CF20" s="21">
        <v>0.69607943494728219</v>
      </c>
      <c r="CG20" s="21">
        <v>0.69607943494728219</v>
      </c>
      <c r="CH20" s="21">
        <v>0.69607943494728219</v>
      </c>
      <c r="CI20" s="21">
        <v>0.69607943494728219</v>
      </c>
      <c r="CJ20" s="21">
        <v>0.69607943494728219</v>
      </c>
      <c r="CK20" s="21">
        <v>0.69607943494728219</v>
      </c>
      <c r="CL20" s="21">
        <v>0.69607943494728219</v>
      </c>
      <c r="CM20" s="21">
        <v>0.69607943494728219</v>
      </c>
      <c r="CN20" s="21">
        <v>0.69607943494728219</v>
      </c>
      <c r="CO20" s="21">
        <v>0.69607943494728219</v>
      </c>
      <c r="CP20" s="21"/>
      <c r="CQ20" s="21"/>
      <c r="CR20" s="21"/>
      <c r="CS20" s="21"/>
      <c r="CT20" s="21"/>
      <c r="CU20" s="21"/>
      <c r="CV20" s="21"/>
      <c r="CW20" s="21"/>
      <c r="CX20" s="21"/>
      <c r="CY20" s="21"/>
      <c r="CZ20" s="21"/>
      <c r="DA20" s="21"/>
      <c r="DB20" s="21"/>
      <c r="DC20" s="21"/>
      <c r="DD20" s="21"/>
      <c r="DE20" s="21"/>
      <c r="DF20" s="21"/>
      <c r="DG20" s="21"/>
      <c r="DH20" s="21"/>
    </row>
    <row r="21" spans="1:112" s="6" customFormat="1" x14ac:dyDescent="0.2">
      <c r="A21" s="4" t="s">
        <v>41</v>
      </c>
      <c r="B21" s="5" t="s">
        <v>26</v>
      </c>
      <c r="C21" s="19">
        <v>2.1871907735353329</v>
      </c>
      <c r="D21" s="19">
        <v>2.1871907735353329</v>
      </c>
      <c r="E21" s="19">
        <v>2.1871907735353329</v>
      </c>
      <c r="F21" s="19">
        <v>2.1871907735353329</v>
      </c>
      <c r="G21" s="19">
        <v>2.1871907735353329</v>
      </c>
      <c r="H21" s="19">
        <v>2.1871907735353329</v>
      </c>
      <c r="I21" s="19">
        <v>2.1871907735353329</v>
      </c>
      <c r="J21" s="19">
        <v>2.1871907735353329</v>
      </c>
      <c r="K21" s="19">
        <v>2.1871907735353329</v>
      </c>
      <c r="L21" s="19">
        <v>2.1871907735353329</v>
      </c>
      <c r="M21" s="19">
        <v>2.1871907735353329</v>
      </c>
      <c r="N21" s="19">
        <v>2.1871907735353329</v>
      </c>
      <c r="O21" s="19">
        <v>2.1871907735353329</v>
      </c>
      <c r="P21" s="19">
        <v>2.1871907735353329</v>
      </c>
      <c r="Q21" s="19">
        <v>2.1871907735353329</v>
      </c>
      <c r="R21" s="19">
        <v>2.1871907735353329</v>
      </c>
      <c r="S21" s="19">
        <v>2.1871907735353329</v>
      </c>
      <c r="T21" s="19">
        <v>2.1871907735353329</v>
      </c>
      <c r="U21" s="19">
        <v>2.1871907735353329</v>
      </c>
      <c r="V21" s="19">
        <v>2.1871907735353329</v>
      </c>
      <c r="W21" s="26">
        <v>2.1871907735353329</v>
      </c>
      <c r="X21" s="19">
        <v>2.1871907735353329</v>
      </c>
      <c r="Y21" s="19">
        <v>2.1871907735353329</v>
      </c>
      <c r="Z21" s="19">
        <v>2.1871907735353329</v>
      </c>
      <c r="AA21" s="19">
        <v>2.1871907735353329</v>
      </c>
      <c r="AB21" s="19">
        <v>2.1871907735353329</v>
      </c>
      <c r="AC21" s="19">
        <v>2.1871907735353329</v>
      </c>
      <c r="AD21" s="19">
        <v>2.1871907735353329</v>
      </c>
      <c r="AE21" s="19">
        <v>2.1871907735353329</v>
      </c>
      <c r="AF21" s="19">
        <v>2.1871907735353329</v>
      </c>
      <c r="AG21" s="19">
        <v>2.1871907735353329</v>
      </c>
      <c r="AH21" s="19">
        <v>2.1871907735353329</v>
      </c>
      <c r="AI21" s="19">
        <v>2.1871907735353329</v>
      </c>
      <c r="AJ21" s="19">
        <v>2.1871907735353329</v>
      </c>
      <c r="AK21" s="19">
        <v>2.1871907735353329</v>
      </c>
      <c r="AL21" s="19">
        <v>2.1871907735353329</v>
      </c>
      <c r="AM21" s="19">
        <v>2.1871907735353329</v>
      </c>
      <c r="AN21" s="19">
        <v>2.1871907735353329</v>
      </c>
      <c r="AO21" s="19">
        <v>2.1871907735353329</v>
      </c>
      <c r="AP21" s="19">
        <v>2.1871907735353329</v>
      </c>
      <c r="AQ21" s="19">
        <v>2.1871907735353329</v>
      </c>
      <c r="AR21" s="19">
        <v>2.1871907735353329</v>
      </c>
      <c r="AS21" s="19">
        <v>2.1871907735353329</v>
      </c>
      <c r="AT21" s="19">
        <v>2.1871907735353329</v>
      </c>
      <c r="AU21" s="19">
        <v>2.1871907735353329</v>
      </c>
      <c r="AV21" s="19">
        <v>2.1871907735353329</v>
      </c>
      <c r="AW21" s="19">
        <v>2.1871907735353329</v>
      </c>
      <c r="AX21" s="19">
        <v>2.1871907735353329</v>
      </c>
      <c r="AY21" s="19">
        <v>2.1871907735353329</v>
      </c>
      <c r="AZ21" s="19">
        <v>2.1871907735353329</v>
      </c>
      <c r="BA21" s="19">
        <v>2.1871907735353329</v>
      </c>
      <c r="BB21" s="25">
        <v>2.1871907735353329</v>
      </c>
      <c r="BC21" s="25">
        <v>2.1871907735353329</v>
      </c>
      <c r="BD21" s="25">
        <v>2.1871907735353329</v>
      </c>
      <c r="BE21" s="25">
        <v>2.1871907735353329</v>
      </c>
      <c r="BF21" s="25">
        <v>2.1871907735353329</v>
      </c>
      <c r="BG21" s="25">
        <v>2.1871907735353329</v>
      </c>
      <c r="BH21" s="25">
        <v>2.1871907735353329</v>
      </c>
      <c r="BI21" s="25">
        <v>2.1871907735353329</v>
      </c>
      <c r="BJ21" s="25">
        <v>2.1871907735353329</v>
      </c>
      <c r="BK21" s="25">
        <v>2.1871907735353329</v>
      </c>
      <c r="BL21" s="25">
        <v>2.1871907735353329</v>
      </c>
      <c r="BM21" s="25">
        <v>2.1871907735353329</v>
      </c>
      <c r="BN21" s="25">
        <v>2.1871907735353329</v>
      </c>
      <c r="BO21" s="25">
        <v>2.1871907735353329</v>
      </c>
      <c r="BP21" s="25">
        <v>2.1871907735353329</v>
      </c>
      <c r="BQ21" s="25">
        <v>2.1871907735353329</v>
      </c>
      <c r="BR21" s="25">
        <v>2.1871907735353329</v>
      </c>
      <c r="BS21" s="25">
        <v>2.1871907735353329</v>
      </c>
      <c r="BT21" s="25">
        <v>2.1871907735353329</v>
      </c>
      <c r="BU21" s="25">
        <v>2.1871907735353329</v>
      </c>
      <c r="BV21" s="25">
        <v>2.1871907735353329</v>
      </c>
      <c r="BW21" s="25">
        <v>2.1871907735353329</v>
      </c>
      <c r="BX21" s="25">
        <v>2.1871907735353329</v>
      </c>
      <c r="BY21" s="25">
        <v>2.1871907735353329</v>
      </c>
      <c r="BZ21" s="25">
        <v>2.1871907735353329</v>
      </c>
      <c r="CA21" s="25">
        <v>2.1871907735353329</v>
      </c>
      <c r="CB21" s="25">
        <v>2.1871907735353329</v>
      </c>
      <c r="CC21" s="25">
        <v>2.1871907735353329</v>
      </c>
      <c r="CD21" s="25">
        <v>2.1871907735353329</v>
      </c>
      <c r="CE21" s="25">
        <v>2.1871907735353329</v>
      </c>
      <c r="CF21" s="25">
        <v>2.1871907735353329</v>
      </c>
      <c r="CG21" s="25">
        <v>2.1871907735353329</v>
      </c>
      <c r="CH21" s="25">
        <v>2.1871907735353329</v>
      </c>
      <c r="CI21" s="25">
        <v>2.1871907735353329</v>
      </c>
      <c r="CJ21" s="25">
        <v>2.1871907735353329</v>
      </c>
      <c r="CK21" s="25">
        <v>2.1871907735353329</v>
      </c>
      <c r="CL21" s="25">
        <v>2.1871907735353329</v>
      </c>
      <c r="CM21" s="25">
        <v>2.1871907735353329</v>
      </c>
      <c r="CN21" s="25">
        <v>2.1871907735353329</v>
      </c>
      <c r="CO21" s="25">
        <v>2.1871907735353329</v>
      </c>
      <c r="CP21" s="25"/>
      <c r="CQ21" s="25"/>
      <c r="CR21" s="25"/>
      <c r="CS21" s="25"/>
      <c r="CT21" s="25"/>
      <c r="CU21" s="25"/>
      <c r="CV21" s="25"/>
      <c r="CW21" s="25"/>
      <c r="CX21" s="25"/>
      <c r="CY21" s="25"/>
      <c r="CZ21" s="25"/>
      <c r="DA21" s="25"/>
      <c r="DB21" s="25"/>
      <c r="DC21" s="25"/>
      <c r="DD21" s="25"/>
      <c r="DE21" s="25"/>
      <c r="DF21" s="25"/>
      <c r="DG21" s="25"/>
      <c r="DH21" s="25"/>
    </row>
    <row r="22" spans="1:112" s="6" customFormat="1" x14ac:dyDescent="0.2">
      <c r="A22" s="4" t="s">
        <v>42</v>
      </c>
      <c r="B22" s="5" t="s">
        <v>26</v>
      </c>
      <c r="C22" s="19">
        <v>0.67219435629713042</v>
      </c>
      <c r="D22" s="19">
        <v>0.67219435629713042</v>
      </c>
      <c r="E22" s="19">
        <v>0.67219435629713042</v>
      </c>
      <c r="F22" s="19">
        <v>0.67219435629713042</v>
      </c>
      <c r="G22" s="19">
        <v>0.67219435629713042</v>
      </c>
      <c r="H22" s="19">
        <v>0.67219435629713042</v>
      </c>
      <c r="I22" s="19">
        <v>0.67219435629713042</v>
      </c>
      <c r="J22" s="19">
        <v>0.67219435629713042</v>
      </c>
      <c r="K22" s="19">
        <v>0.67219435629713042</v>
      </c>
      <c r="L22" s="19">
        <v>0.67219435629713042</v>
      </c>
      <c r="M22" s="19">
        <v>0.67219435629713042</v>
      </c>
      <c r="N22" s="19">
        <v>0.67219435629713042</v>
      </c>
      <c r="O22" s="19">
        <v>0.67219435629713042</v>
      </c>
      <c r="P22" s="19">
        <v>0.67219435629713042</v>
      </c>
      <c r="Q22" s="19">
        <v>0.67219435629713042</v>
      </c>
      <c r="R22" s="19">
        <v>0.67219435629713042</v>
      </c>
      <c r="S22" s="19">
        <v>0.67219435629713042</v>
      </c>
      <c r="T22" s="19">
        <v>0.67219435629713042</v>
      </c>
      <c r="U22" s="19">
        <v>0.67219435629713042</v>
      </c>
      <c r="V22" s="19">
        <v>0.67219435629713042</v>
      </c>
      <c r="W22" s="26">
        <v>0.67219435629713042</v>
      </c>
      <c r="X22" s="19">
        <v>0.67219435629713042</v>
      </c>
      <c r="Y22" s="19">
        <v>0.67219435629713042</v>
      </c>
      <c r="Z22" s="19">
        <v>0.67219435629713042</v>
      </c>
      <c r="AA22" s="19">
        <v>0.67219435629713042</v>
      </c>
      <c r="AB22" s="19">
        <v>0.67219435629713042</v>
      </c>
      <c r="AC22" s="19">
        <v>0.67219435629713042</v>
      </c>
      <c r="AD22" s="19">
        <v>0.67219435629713042</v>
      </c>
      <c r="AE22" s="19">
        <v>0.67219435629713042</v>
      </c>
      <c r="AF22" s="19">
        <v>0.67219435629713042</v>
      </c>
      <c r="AG22" s="19">
        <v>0.67219435629713042</v>
      </c>
      <c r="AH22" s="19">
        <v>0.67219435629713042</v>
      </c>
      <c r="AI22" s="19">
        <v>0.67219435629713042</v>
      </c>
      <c r="AJ22" s="19">
        <v>0.67219435629713042</v>
      </c>
      <c r="AK22" s="19">
        <v>0.67219435629713042</v>
      </c>
      <c r="AL22" s="19">
        <v>0.67219435629713042</v>
      </c>
      <c r="AM22" s="19">
        <v>0.67219435629713042</v>
      </c>
      <c r="AN22" s="19">
        <v>0.67219435629713042</v>
      </c>
      <c r="AO22" s="19">
        <v>0.67219435629713042</v>
      </c>
      <c r="AP22" s="19">
        <v>0.67219435629713042</v>
      </c>
      <c r="AQ22" s="19">
        <v>0.67219435629713042</v>
      </c>
      <c r="AR22" s="19">
        <v>0.67219435629713042</v>
      </c>
      <c r="AS22" s="19">
        <v>0.67219435629713042</v>
      </c>
      <c r="AT22" s="19">
        <v>0.67219435629713042</v>
      </c>
      <c r="AU22" s="19">
        <v>0.67219435629713042</v>
      </c>
      <c r="AV22" s="19">
        <v>0.67219435629713042</v>
      </c>
      <c r="AW22" s="19">
        <v>0.67219435629713042</v>
      </c>
      <c r="AX22" s="19">
        <v>0.67219435629713042</v>
      </c>
      <c r="AY22" s="19">
        <v>0.67219435629713042</v>
      </c>
      <c r="AZ22" s="19">
        <v>0.67219435629713042</v>
      </c>
      <c r="BA22" s="19">
        <v>0.67219435629713042</v>
      </c>
      <c r="BB22" s="25">
        <v>0.67219435629713042</v>
      </c>
      <c r="BC22" s="25">
        <v>0.67219435629713042</v>
      </c>
      <c r="BD22" s="25">
        <v>0.67219435629713042</v>
      </c>
      <c r="BE22" s="25">
        <v>0.67219435629713042</v>
      </c>
      <c r="BF22" s="25">
        <v>0.67219435629713042</v>
      </c>
      <c r="BG22" s="25">
        <v>0.67219435629713042</v>
      </c>
      <c r="BH22" s="25">
        <v>0.67219435629713042</v>
      </c>
      <c r="BI22" s="25">
        <v>0.67219435629713042</v>
      </c>
      <c r="BJ22" s="25">
        <v>0.67219435629713042</v>
      </c>
      <c r="BK22" s="25">
        <v>0.67219435629713042</v>
      </c>
      <c r="BL22" s="25">
        <v>0.67219435629713042</v>
      </c>
      <c r="BM22" s="25">
        <v>0.67219435629713042</v>
      </c>
      <c r="BN22" s="25">
        <v>0.67219435629713042</v>
      </c>
      <c r="BO22" s="25">
        <v>0.67219435629713042</v>
      </c>
      <c r="BP22" s="25">
        <v>0.67219435629713042</v>
      </c>
      <c r="BQ22" s="25">
        <v>0.67219435629713042</v>
      </c>
      <c r="BR22" s="25">
        <v>0.67219435629713042</v>
      </c>
      <c r="BS22" s="25">
        <v>0.67219435629713042</v>
      </c>
      <c r="BT22" s="25">
        <v>0.67219435629713042</v>
      </c>
      <c r="BU22" s="25">
        <v>0.67219435629713042</v>
      </c>
      <c r="BV22" s="25">
        <v>0.67219435629713042</v>
      </c>
      <c r="BW22" s="25">
        <v>0.67219435629713042</v>
      </c>
      <c r="BX22" s="25">
        <v>0.67219435629713042</v>
      </c>
      <c r="BY22" s="25">
        <v>0.67219435629713042</v>
      </c>
      <c r="BZ22" s="25">
        <v>0.67219435629713042</v>
      </c>
      <c r="CA22" s="25">
        <v>0.67219435629713042</v>
      </c>
      <c r="CB22" s="25">
        <v>0.67219435629713042</v>
      </c>
      <c r="CC22" s="25">
        <v>0.67219435629713042</v>
      </c>
      <c r="CD22" s="25">
        <v>0.67219435629713042</v>
      </c>
      <c r="CE22" s="25">
        <v>0.67219435629713042</v>
      </c>
      <c r="CF22" s="25">
        <v>0.67219435629713042</v>
      </c>
      <c r="CG22" s="25">
        <v>0.67219435629713042</v>
      </c>
      <c r="CH22" s="25">
        <v>0.67219435629713042</v>
      </c>
      <c r="CI22" s="25">
        <v>0.67219435629713042</v>
      </c>
      <c r="CJ22" s="25">
        <v>0.67219435629713042</v>
      </c>
      <c r="CK22" s="25">
        <v>0.67219435629713042</v>
      </c>
      <c r="CL22" s="25">
        <v>0.67219435629713042</v>
      </c>
      <c r="CM22" s="25">
        <v>0.67219435629713042</v>
      </c>
      <c r="CN22" s="25">
        <v>0.67219435629713042</v>
      </c>
      <c r="CO22" s="25">
        <v>0.67219435629713042</v>
      </c>
      <c r="CP22" s="25"/>
      <c r="CQ22" s="25"/>
      <c r="CR22" s="25"/>
      <c r="CS22" s="25"/>
      <c r="CT22" s="25"/>
      <c r="CU22" s="25"/>
      <c r="CV22" s="25"/>
      <c r="CW22" s="25"/>
      <c r="CX22" s="25"/>
      <c r="CY22" s="25"/>
      <c r="CZ22" s="25"/>
      <c r="DA22" s="25"/>
      <c r="DB22" s="25"/>
      <c r="DC22" s="25"/>
      <c r="DD22" s="25"/>
      <c r="DE22" s="25"/>
      <c r="DF22" s="25"/>
      <c r="DG22" s="25"/>
      <c r="DH22" s="25"/>
    </row>
    <row r="23" spans="1:112" s="6" customFormat="1" x14ac:dyDescent="0.2">
      <c r="A23" s="4" t="s">
        <v>43</v>
      </c>
      <c r="B23" s="5" t="s">
        <v>26</v>
      </c>
      <c r="C23" s="19">
        <v>0.57665404169652301</v>
      </c>
      <c r="D23" s="19">
        <v>0.57665404169652301</v>
      </c>
      <c r="E23" s="19">
        <v>0.57665404169652301</v>
      </c>
      <c r="F23" s="19">
        <v>0.57665404169652301</v>
      </c>
      <c r="G23" s="19">
        <v>0.57665404169652301</v>
      </c>
      <c r="H23" s="19">
        <v>0.57665404169652301</v>
      </c>
      <c r="I23" s="19">
        <v>0.57665404169652301</v>
      </c>
      <c r="J23" s="19">
        <v>0.57665404169652301</v>
      </c>
      <c r="K23" s="19">
        <v>0.57665404169652301</v>
      </c>
      <c r="L23" s="19">
        <v>0.57665404169652301</v>
      </c>
      <c r="M23" s="19">
        <v>0.57665404169652301</v>
      </c>
      <c r="N23" s="19">
        <v>0.57665404169652301</v>
      </c>
      <c r="O23" s="19">
        <v>0.57665404169652301</v>
      </c>
      <c r="P23" s="19">
        <v>0.57665404169652301</v>
      </c>
      <c r="Q23" s="19">
        <v>0.57665404169652301</v>
      </c>
      <c r="R23" s="19">
        <v>0.57665404169652301</v>
      </c>
      <c r="S23" s="19">
        <v>0.57665404169652301</v>
      </c>
      <c r="T23" s="19">
        <v>0.57665404169652301</v>
      </c>
      <c r="U23" s="19">
        <v>0.57665404169652301</v>
      </c>
      <c r="V23" s="19">
        <v>0.57665404169652301</v>
      </c>
      <c r="W23" s="26">
        <v>0.57665404169652301</v>
      </c>
      <c r="X23" s="19">
        <v>0.57665404169652301</v>
      </c>
      <c r="Y23" s="19">
        <v>0.57665404169652301</v>
      </c>
      <c r="Z23" s="19">
        <v>0.57665404169652301</v>
      </c>
      <c r="AA23" s="19">
        <v>0.57665404169652301</v>
      </c>
      <c r="AB23" s="19">
        <v>0.57665404169652301</v>
      </c>
      <c r="AC23" s="19">
        <v>0.57665404169652301</v>
      </c>
      <c r="AD23" s="19">
        <v>0.57665404169652301</v>
      </c>
      <c r="AE23" s="19">
        <v>0.57665404169652301</v>
      </c>
      <c r="AF23" s="19">
        <v>0.57665404169652301</v>
      </c>
      <c r="AG23" s="19">
        <v>0.57665404169652301</v>
      </c>
      <c r="AH23" s="19">
        <v>0.57665404169652301</v>
      </c>
      <c r="AI23" s="19">
        <v>0.57665404169652301</v>
      </c>
      <c r="AJ23" s="19">
        <v>0.57665404169652301</v>
      </c>
      <c r="AK23" s="19">
        <v>0.57665404169652301</v>
      </c>
      <c r="AL23" s="19">
        <v>0.57665404169652301</v>
      </c>
      <c r="AM23" s="19">
        <v>0.57665404169652301</v>
      </c>
      <c r="AN23" s="19">
        <v>0.57665404169652301</v>
      </c>
      <c r="AO23" s="19">
        <v>0.57665404169652301</v>
      </c>
      <c r="AP23" s="19">
        <v>0.57665404169652301</v>
      </c>
      <c r="AQ23" s="19">
        <v>0.57665404169652301</v>
      </c>
      <c r="AR23" s="19">
        <v>0.57665404169652301</v>
      </c>
      <c r="AS23" s="19">
        <v>0.57665404169652301</v>
      </c>
      <c r="AT23" s="19">
        <v>0.57665404169652301</v>
      </c>
      <c r="AU23" s="19">
        <v>0.57665404169652301</v>
      </c>
      <c r="AV23" s="19">
        <v>0.57665404169652301</v>
      </c>
      <c r="AW23" s="19">
        <v>0.57665404169652301</v>
      </c>
      <c r="AX23" s="19">
        <v>0.57665404169652301</v>
      </c>
      <c r="AY23" s="19">
        <v>0.57665404169652301</v>
      </c>
      <c r="AZ23" s="19">
        <v>0.57665404169652301</v>
      </c>
      <c r="BA23" s="19">
        <v>0.57665404169652301</v>
      </c>
      <c r="BB23" s="25">
        <v>0.57665404169652301</v>
      </c>
      <c r="BC23" s="25">
        <v>0.57665404169652301</v>
      </c>
      <c r="BD23" s="25">
        <v>0.57665404169652301</v>
      </c>
      <c r="BE23" s="25">
        <v>0.57665404169652301</v>
      </c>
      <c r="BF23" s="25">
        <v>0.57665404169652301</v>
      </c>
      <c r="BG23" s="25">
        <v>0.57665404169652301</v>
      </c>
      <c r="BH23" s="25">
        <v>0.57665404169652301</v>
      </c>
      <c r="BI23" s="25">
        <v>0.57665404169652301</v>
      </c>
      <c r="BJ23" s="25">
        <v>0.57665404169652301</v>
      </c>
      <c r="BK23" s="25">
        <v>0.57665404169652301</v>
      </c>
      <c r="BL23" s="25">
        <v>0.57665404169652301</v>
      </c>
      <c r="BM23" s="25">
        <v>0.57665404169652301</v>
      </c>
      <c r="BN23" s="25">
        <v>0.57665404169652301</v>
      </c>
      <c r="BO23" s="25">
        <v>0.57665404169652301</v>
      </c>
      <c r="BP23" s="25">
        <v>0.57665404169652301</v>
      </c>
      <c r="BQ23" s="25">
        <v>0.57665404169652301</v>
      </c>
      <c r="BR23" s="25">
        <v>0.57665404169652301</v>
      </c>
      <c r="BS23" s="25">
        <v>0.57665404169652301</v>
      </c>
      <c r="BT23" s="25">
        <v>0.57665404169652301</v>
      </c>
      <c r="BU23" s="25">
        <v>0.57665404169652301</v>
      </c>
      <c r="BV23" s="25">
        <v>0.57665404169652301</v>
      </c>
      <c r="BW23" s="25">
        <v>0.57665404169652301</v>
      </c>
      <c r="BX23" s="25">
        <v>0.57665404169652301</v>
      </c>
      <c r="BY23" s="25">
        <v>0.57665404169652301</v>
      </c>
      <c r="BZ23" s="25">
        <v>0.57665404169652301</v>
      </c>
      <c r="CA23" s="25">
        <v>0.57665404169652301</v>
      </c>
      <c r="CB23" s="25">
        <v>0.57665404169652301</v>
      </c>
      <c r="CC23" s="25">
        <v>0.57665404169652301</v>
      </c>
      <c r="CD23" s="25">
        <v>0.57665404169652301</v>
      </c>
      <c r="CE23" s="25">
        <v>0.57665404169652301</v>
      </c>
      <c r="CF23" s="25">
        <v>0.57665404169652301</v>
      </c>
      <c r="CG23" s="25">
        <v>0.57665404169652301</v>
      </c>
      <c r="CH23" s="25">
        <v>0.57665404169652301</v>
      </c>
      <c r="CI23" s="25">
        <v>0.57665404169652301</v>
      </c>
      <c r="CJ23" s="25">
        <v>0.57665404169652301</v>
      </c>
      <c r="CK23" s="25">
        <v>0.57665404169652301</v>
      </c>
      <c r="CL23" s="25">
        <v>0.57665404169652301</v>
      </c>
      <c r="CM23" s="25">
        <v>0.57665404169652301</v>
      </c>
      <c r="CN23" s="25">
        <v>0.57665404169652301</v>
      </c>
      <c r="CO23" s="25">
        <v>0.57665404169652301</v>
      </c>
      <c r="CP23" s="25"/>
      <c r="CQ23" s="25"/>
      <c r="CR23" s="25"/>
      <c r="CS23" s="25"/>
      <c r="CT23" s="25"/>
      <c r="CU23" s="25"/>
      <c r="CV23" s="25"/>
      <c r="CW23" s="25"/>
      <c r="CX23" s="25"/>
      <c r="CY23" s="25"/>
      <c r="CZ23" s="25"/>
      <c r="DA23" s="25"/>
      <c r="DB23" s="25"/>
      <c r="DC23" s="25"/>
      <c r="DD23" s="25"/>
      <c r="DE23" s="25"/>
      <c r="DF23" s="25"/>
      <c r="DG23" s="25"/>
      <c r="DH23" s="25"/>
    </row>
    <row r="24" spans="1:112" x14ac:dyDescent="0.2">
      <c r="A24" s="7"/>
      <c r="B24" s="5"/>
      <c r="C24" s="19"/>
      <c r="D24" s="19"/>
      <c r="E24" s="19"/>
      <c r="F24" s="19"/>
      <c r="G24" s="19"/>
      <c r="H24" s="19"/>
      <c r="I24" s="19"/>
      <c r="J24" s="19"/>
      <c r="K24" s="19"/>
      <c r="L24" s="19"/>
      <c r="M24" s="19"/>
      <c r="N24" s="19"/>
      <c r="O24" s="19"/>
      <c r="P24" s="19"/>
      <c r="Q24" s="19"/>
      <c r="R24" s="19"/>
      <c r="S24" s="19"/>
      <c r="T24" s="19"/>
      <c r="U24" s="19"/>
      <c r="V24" s="19"/>
      <c r="W24" s="26"/>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row>
    <row r="25" spans="1:112" x14ac:dyDescent="0.2">
      <c r="A25" s="4" t="s">
        <v>63</v>
      </c>
      <c r="B25" s="5" t="s">
        <v>44</v>
      </c>
      <c r="C25" s="16">
        <v>30.229605956685361</v>
      </c>
      <c r="D25" s="16">
        <v>30.229605956685361</v>
      </c>
      <c r="E25" s="16">
        <v>31.015028203506937</v>
      </c>
      <c r="F25" s="16">
        <v>31.800450450328512</v>
      </c>
      <c r="G25" s="19">
        <v>32.585872697150087</v>
      </c>
      <c r="H25" s="19">
        <v>33.371294943971662</v>
      </c>
      <c r="I25" s="19">
        <v>34.156717190793245</v>
      </c>
      <c r="J25" s="19">
        <v>34.156717190793245</v>
      </c>
      <c r="K25" s="19">
        <v>34.156717190793245</v>
      </c>
      <c r="L25" s="19">
        <v>34.156717190793245</v>
      </c>
      <c r="M25" s="19">
        <v>34.156717190793245</v>
      </c>
      <c r="N25" s="19">
        <v>34.156717190793245</v>
      </c>
      <c r="O25" s="19">
        <v>34.156717190793245</v>
      </c>
      <c r="P25" s="19">
        <v>34.156717190793245</v>
      </c>
      <c r="Q25" s="19">
        <v>34.156717190793245</v>
      </c>
      <c r="R25" s="19">
        <v>34.156717190793245</v>
      </c>
      <c r="S25" s="19">
        <v>34.156717190793245</v>
      </c>
      <c r="T25" s="19">
        <v>34.156717190793245</v>
      </c>
      <c r="U25" s="19">
        <v>34.156717190793245</v>
      </c>
      <c r="V25" s="19">
        <v>34.156717190793245</v>
      </c>
      <c r="W25" s="26">
        <v>34.156717190793245</v>
      </c>
      <c r="X25" s="19">
        <v>34.156717190793245</v>
      </c>
      <c r="Y25" s="19">
        <v>34.156717190793245</v>
      </c>
      <c r="Z25" s="19">
        <v>34.156717190793245</v>
      </c>
      <c r="AA25" s="19">
        <v>34.156717190793245</v>
      </c>
      <c r="AB25" s="19">
        <v>34.156717190793245</v>
      </c>
      <c r="AC25" s="19">
        <v>34.156717190793245</v>
      </c>
      <c r="AD25" s="19">
        <v>34.156717190793245</v>
      </c>
      <c r="AE25" s="19">
        <v>34.156717190793245</v>
      </c>
      <c r="AF25" s="19">
        <v>34.156717190793245</v>
      </c>
      <c r="AG25" s="19">
        <v>34.156717190793245</v>
      </c>
      <c r="AH25" s="19">
        <v>34.156717190793245</v>
      </c>
      <c r="AI25" s="19">
        <v>34.156717190793245</v>
      </c>
      <c r="AJ25" s="19">
        <v>34.156717190793245</v>
      </c>
      <c r="AK25" s="19">
        <v>34.156717190793245</v>
      </c>
      <c r="AL25" s="19">
        <v>34.156717190793245</v>
      </c>
      <c r="AM25" s="19">
        <v>34.156717190793245</v>
      </c>
      <c r="AN25" s="19">
        <v>34.156717190793245</v>
      </c>
      <c r="AO25" s="19">
        <v>34.156717190793245</v>
      </c>
      <c r="AP25" s="19">
        <v>34.156717190793245</v>
      </c>
      <c r="AQ25" s="19">
        <v>34.156717190793245</v>
      </c>
      <c r="AR25" s="19">
        <v>34.156717190793245</v>
      </c>
      <c r="AS25" s="19">
        <v>34.156717190793245</v>
      </c>
      <c r="AT25" s="19">
        <v>34.156717190793245</v>
      </c>
      <c r="AU25" s="19">
        <v>34.156717190793245</v>
      </c>
      <c r="AV25" s="19">
        <v>34.156717190793245</v>
      </c>
      <c r="AW25" s="19">
        <v>34.156717190793245</v>
      </c>
      <c r="AX25" s="19">
        <v>34.156717190793245</v>
      </c>
      <c r="AY25" s="19">
        <v>34.156717190793245</v>
      </c>
      <c r="AZ25" s="19">
        <v>34.156717190793245</v>
      </c>
      <c r="BA25" s="19">
        <v>34.156717190793245</v>
      </c>
      <c r="BB25" s="19">
        <v>34.156717190793245</v>
      </c>
      <c r="BC25" s="19">
        <v>34.156717190793245</v>
      </c>
      <c r="BD25" s="19">
        <v>34.156717190793245</v>
      </c>
      <c r="BE25" s="19">
        <v>34.156717190793245</v>
      </c>
      <c r="BF25" s="19">
        <v>34.156717190793245</v>
      </c>
      <c r="BG25" s="19">
        <v>34.156717190793245</v>
      </c>
      <c r="BH25" s="19">
        <v>34.156717190793245</v>
      </c>
      <c r="BI25" s="19">
        <v>34.156717190793245</v>
      </c>
      <c r="BJ25" s="19">
        <v>34.156717190793245</v>
      </c>
      <c r="BK25" s="19">
        <v>34.156717190793245</v>
      </c>
      <c r="BL25" s="19">
        <v>34.156717190793245</v>
      </c>
      <c r="BM25" s="19">
        <v>34.156717190793245</v>
      </c>
      <c r="BN25" s="19">
        <v>34.156717190793245</v>
      </c>
      <c r="BO25" s="19">
        <v>34.156717190793245</v>
      </c>
      <c r="BP25" s="19">
        <v>34.156717190793245</v>
      </c>
      <c r="BQ25" s="19">
        <v>34.156717190793245</v>
      </c>
      <c r="BR25" s="19">
        <v>34.156717190793245</v>
      </c>
      <c r="BS25" s="19">
        <v>34.156717190793245</v>
      </c>
      <c r="BT25" s="19">
        <v>34.156717190793245</v>
      </c>
      <c r="BU25" s="19">
        <v>34.156717190793245</v>
      </c>
      <c r="BV25" s="19">
        <v>34.156717190793245</v>
      </c>
      <c r="BW25" s="19">
        <v>34.156717190793245</v>
      </c>
      <c r="BX25" s="19">
        <v>34.156717190793245</v>
      </c>
      <c r="BY25" s="19">
        <v>34.156717190793245</v>
      </c>
      <c r="BZ25" s="19">
        <v>34.156717190793245</v>
      </c>
      <c r="CA25" s="19">
        <v>34.156717190793245</v>
      </c>
      <c r="CB25" s="19">
        <v>34.156717190793245</v>
      </c>
      <c r="CC25" s="19">
        <v>34.156717190793245</v>
      </c>
      <c r="CD25" s="19">
        <v>34.156717190793245</v>
      </c>
      <c r="CE25" s="19">
        <v>34.156717190793245</v>
      </c>
      <c r="CF25" s="19">
        <v>34.156717190793245</v>
      </c>
      <c r="CG25" s="19">
        <v>34.156717190793245</v>
      </c>
      <c r="CH25" s="19">
        <v>34.156717190793245</v>
      </c>
      <c r="CI25" s="19">
        <v>34.156717190793245</v>
      </c>
      <c r="CJ25" s="19">
        <v>34.156717190793245</v>
      </c>
      <c r="CK25" s="19">
        <v>34.156717190793245</v>
      </c>
      <c r="CL25" s="19">
        <v>34.156717190793245</v>
      </c>
      <c r="CM25" s="19">
        <v>34.156717190793245</v>
      </c>
      <c r="CN25" s="19">
        <v>34.156717190793245</v>
      </c>
      <c r="CO25" s="19">
        <v>34.156717190793245</v>
      </c>
      <c r="CP25" s="21"/>
      <c r="CQ25" s="21"/>
      <c r="CR25" s="21"/>
      <c r="CS25" s="21"/>
      <c r="CT25" s="21"/>
      <c r="CU25" s="21"/>
      <c r="CV25" s="21"/>
      <c r="CW25" s="21"/>
      <c r="CX25" s="21"/>
      <c r="CY25" s="21"/>
      <c r="CZ25" s="21"/>
      <c r="DA25" s="21"/>
      <c r="DB25" s="21"/>
      <c r="DC25" s="21"/>
      <c r="DD25" s="21"/>
      <c r="DE25" s="21"/>
      <c r="DF25" s="21"/>
      <c r="DG25" s="21"/>
      <c r="DH25" s="21"/>
    </row>
    <row r="26" spans="1:112" x14ac:dyDescent="0.2">
      <c r="A26" s="4" t="s">
        <v>64</v>
      </c>
      <c r="B26" s="5" t="s">
        <v>44</v>
      </c>
      <c r="C26" s="16">
        <v>34.644077468128287</v>
      </c>
      <c r="D26" s="16">
        <v>34.644077468128287</v>
      </c>
      <c r="E26" s="16">
        <v>35.446219051568562</v>
      </c>
      <c r="F26" s="16">
        <v>36.248360635008829</v>
      </c>
      <c r="G26" s="19">
        <v>37.050502218449097</v>
      </c>
      <c r="H26" s="19">
        <v>37.852643801889371</v>
      </c>
      <c r="I26" s="19">
        <v>38.654785385329646</v>
      </c>
      <c r="J26" s="19">
        <v>38.654785385329646</v>
      </c>
      <c r="K26" s="19">
        <v>38.654785385329646</v>
      </c>
      <c r="L26" s="19">
        <v>38.654785385329646</v>
      </c>
      <c r="M26" s="19">
        <v>38.654785385329646</v>
      </c>
      <c r="N26" s="19">
        <v>38.654785385329646</v>
      </c>
      <c r="O26" s="19">
        <v>38.654785385329646</v>
      </c>
      <c r="P26" s="19">
        <v>38.654785385329646</v>
      </c>
      <c r="Q26" s="19">
        <v>38.654785385329646</v>
      </c>
      <c r="R26" s="19">
        <v>38.654785385329646</v>
      </c>
      <c r="S26" s="19">
        <v>38.654785385329646</v>
      </c>
      <c r="T26" s="19">
        <v>38.654785385329646</v>
      </c>
      <c r="U26" s="19">
        <v>38.654785385329646</v>
      </c>
      <c r="V26" s="19">
        <v>38.654785385329646</v>
      </c>
      <c r="W26" s="26">
        <v>38.654785385329646</v>
      </c>
      <c r="X26" s="19">
        <v>38.654785385329646</v>
      </c>
      <c r="Y26" s="19">
        <v>38.654785385329646</v>
      </c>
      <c r="Z26" s="19">
        <v>38.654785385329646</v>
      </c>
      <c r="AA26" s="19">
        <v>38.654785385329646</v>
      </c>
      <c r="AB26" s="19">
        <v>38.654785385329646</v>
      </c>
      <c r="AC26" s="19">
        <v>38.654785385329646</v>
      </c>
      <c r="AD26" s="19">
        <v>38.654785385329646</v>
      </c>
      <c r="AE26" s="19">
        <v>38.654785385329646</v>
      </c>
      <c r="AF26" s="19">
        <v>38.654785385329646</v>
      </c>
      <c r="AG26" s="19">
        <v>38.654785385329646</v>
      </c>
      <c r="AH26" s="19">
        <v>38.654785385329646</v>
      </c>
      <c r="AI26" s="19">
        <v>38.654785385329646</v>
      </c>
      <c r="AJ26" s="19">
        <v>38.654785385329646</v>
      </c>
      <c r="AK26" s="19">
        <v>38.654785385329646</v>
      </c>
      <c r="AL26" s="19">
        <v>38.654785385329646</v>
      </c>
      <c r="AM26" s="19">
        <v>38.654785385329646</v>
      </c>
      <c r="AN26" s="19">
        <v>38.654785385329646</v>
      </c>
      <c r="AO26" s="19">
        <v>38.654785385329646</v>
      </c>
      <c r="AP26" s="19">
        <v>38.654785385329646</v>
      </c>
      <c r="AQ26" s="19">
        <v>38.654785385329646</v>
      </c>
      <c r="AR26" s="19">
        <v>38.654785385329646</v>
      </c>
      <c r="AS26" s="19">
        <v>38.654785385329646</v>
      </c>
      <c r="AT26" s="19">
        <v>38.654785385329646</v>
      </c>
      <c r="AU26" s="19">
        <v>38.654785385329646</v>
      </c>
      <c r="AV26" s="19">
        <v>38.654785385329646</v>
      </c>
      <c r="AW26" s="19">
        <v>38.654785385329646</v>
      </c>
      <c r="AX26" s="19">
        <v>38.654785385329646</v>
      </c>
      <c r="AY26" s="19">
        <v>38.654785385329646</v>
      </c>
      <c r="AZ26" s="19">
        <v>38.654785385329646</v>
      </c>
      <c r="BA26" s="19">
        <v>38.654785385329646</v>
      </c>
      <c r="BB26" s="19">
        <v>38.654785385329646</v>
      </c>
      <c r="BC26" s="19">
        <v>38.654785385329646</v>
      </c>
      <c r="BD26" s="19">
        <v>38.654785385329646</v>
      </c>
      <c r="BE26" s="19">
        <v>38.654785385329646</v>
      </c>
      <c r="BF26" s="19">
        <v>38.654785385329646</v>
      </c>
      <c r="BG26" s="19">
        <v>38.654785385329646</v>
      </c>
      <c r="BH26" s="19">
        <v>38.654785385329646</v>
      </c>
      <c r="BI26" s="19">
        <v>38.654785385329646</v>
      </c>
      <c r="BJ26" s="19">
        <v>38.654785385329646</v>
      </c>
      <c r="BK26" s="19">
        <v>38.654785385329646</v>
      </c>
      <c r="BL26" s="19">
        <v>38.654785385329646</v>
      </c>
      <c r="BM26" s="19">
        <v>38.654785385329646</v>
      </c>
      <c r="BN26" s="19">
        <v>38.654785385329646</v>
      </c>
      <c r="BO26" s="19">
        <v>38.654785385329646</v>
      </c>
      <c r="BP26" s="19">
        <v>38.654785385329646</v>
      </c>
      <c r="BQ26" s="19">
        <v>38.654785385329646</v>
      </c>
      <c r="BR26" s="19">
        <v>38.654785385329646</v>
      </c>
      <c r="BS26" s="19">
        <v>38.654785385329646</v>
      </c>
      <c r="BT26" s="19">
        <v>38.654785385329646</v>
      </c>
      <c r="BU26" s="19">
        <v>38.654785385329646</v>
      </c>
      <c r="BV26" s="19">
        <v>38.654785385329646</v>
      </c>
      <c r="BW26" s="19">
        <v>38.654785385329646</v>
      </c>
      <c r="BX26" s="19">
        <v>38.654785385329646</v>
      </c>
      <c r="BY26" s="19">
        <v>38.654785385329646</v>
      </c>
      <c r="BZ26" s="19">
        <v>38.654785385329646</v>
      </c>
      <c r="CA26" s="19">
        <v>38.654785385329646</v>
      </c>
      <c r="CB26" s="19">
        <v>38.654785385329646</v>
      </c>
      <c r="CC26" s="19">
        <v>38.654785385329646</v>
      </c>
      <c r="CD26" s="19">
        <v>38.654785385329646</v>
      </c>
      <c r="CE26" s="19">
        <v>38.654785385329646</v>
      </c>
      <c r="CF26" s="19">
        <v>38.654785385329646</v>
      </c>
      <c r="CG26" s="19">
        <v>38.654785385329646</v>
      </c>
      <c r="CH26" s="19">
        <v>38.654785385329646</v>
      </c>
      <c r="CI26" s="19">
        <v>38.654785385329646</v>
      </c>
      <c r="CJ26" s="19">
        <v>38.654785385329646</v>
      </c>
      <c r="CK26" s="19">
        <v>38.654785385329646</v>
      </c>
      <c r="CL26" s="19">
        <v>38.654785385329646</v>
      </c>
      <c r="CM26" s="19">
        <v>38.654785385329646</v>
      </c>
      <c r="CN26" s="19">
        <v>38.654785385329646</v>
      </c>
      <c r="CO26" s="19">
        <v>38.654785385329646</v>
      </c>
      <c r="CP26" s="21"/>
      <c r="CQ26" s="21"/>
      <c r="CR26" s="21"/>
      <c r="CS26" s="21"/>
      <c r="CT26" s="21"/>
      <c r="CU26" s="21"/>
      <c r="CV26" s="21"/>
      <c r="CW26" s="21"/>
      <c r="CX26" s="21"/>
      <c r="CY26" s="21"/>
      <c r="CZ26" s="21"/>
      <c r="DA26" s="21"/>
      <c r="DB26" s="21"/>
      <c r="DC26" s="21"/>
      <c r="DD26" s="21"/>
      <c r="DE26" s="21"/>
      <c r="DF26" s="21"/>
      <c r="DG26" s="21"/>
      <c r="DH26" s="21"/>
    </row>
    <row r="27" spans="1:112" x14ac:dyDescent="0.2">
      <c r="A27" s="4" t="s">
        <v>65</v>
      </c>
      <c r="B27" s="5" t="s">
        <v>44</v>
      </c>
      <c r="C27" s="16">
        <v>31.926175885863913</v>
      </c>
      <c r="D27" s="16">
        <v>31.926175885863913</v>
      </c>
      <c r="E27" s="16">
        <v>32.728317469304187</v>
      </c>
      <c r="F27" s="16">
        <v>33.530459052744455</v>
      </c>
      <c r="G27" s="19">
        <v>34.332600636184722</v>
      </c>
      <c r="H27" s="19">
        <v>35.134742219624997</v>
      </c>
      <c r="I27" s="19">
        <v>35.936883803065271</v>
      </c>
      <c r="J27" s="19">
        <v>35.936883803065271</v>
      </c>
      <c r="K27" s="19">
        <v>35.936883803065271</v>
      </c>
      <c r="L27" s="19">
        <v>35.936883803065271</v>
      </c>
      <c r="M27" s="19">
        <v>35.936883803065271</v>
      </c>
      <c r="N27" s="19">
        <v>35.936883803065271</v>
      </c>
      <c r="O27" s="19">
        <v>35.936883803065271</v>
      </c>
      <c r="P27" s="19">
        <v>35.936883803065271</v>
      </c>
      <c r="Q27" s="19">
        <v>35.936883803065271</v>
      </c>
      <c r="R27" s="19">
        <v>35.936883803065271</v>
      </c>
      <c r="S27" s="19">
        <v>35.936883803065271</v>
      </c>
      <c r="T27" s="19">
        <v>35.936883803065271</v>
      </c>
      <c r="U27" s="19">
        <v>35.936883803065271</v>
      </c>
      <c r="V27" s="19">
        <v>35.936883803065271</v>
      </c>
      <c r="W27" s="26">
        <v>35.936883803065271</v>
      </c>
      <c r="X27" s="19">
        <v>35.936883803065271</v>
      </c>
      <c r="Y27" s="19">
        <v>35.936883803065271</v>
      </c>
      <c r="Z27" s="19">
        <v>35.936883803065271</v>
      </c>
      <c r="AA27" s="19">
        <v>35.936883803065271</v>
      </c>
      <c r="AB27" s="19">
        <v>35.936883803065271</v>
      </c>
      <c r="AC27" s="19">
        <v>35.936883803065271</v>
      </c>
      <c r="AD27" s="19">
        <v>35.936883803065271</v>
      </c>
      <c r="AE27" s="19">
        <v>35.936883803065271</v>
      </c>
      <c r="AF27" s="19">
        <v>35.936883803065271</v>
      </c>
      <c r="AG27" s="19">
        <v>35.936883803065271</v>
      </c>
      <c r="AH27" s="19">
        <v>35.936883803065271</v>
      </c>
      <c r="AI27" s="19">
        <v>35.936883803065271</v>
      </c>
      <c r="AJ27" s="19">
        <v>35.936883803065271</v>
      </c>
      <c r="AK27" s="19">
        <v>35.936883803065271</v>
      </c>
      <c r="AL27" s="19">
        <v>35.936883803065271</v>
      </c>
      <c r="AM27" s="19">
        <v>35.936883803065271</v>
      </c>
      <c r="AN27" s="19">
        <v>35.936883803065271</v>
      </c>
      <c r="AO27" s="19">
        <v>35.936883803065271</v>
      </c>
      <c r="AP27" s="19">
        <v>35.936883803065271</v>
      </c>
      <c r="AQ27" s="19">
        <v>35.936883803065271</v>
      </c>
      <c r="AR27" s="19">
        <v>35.936883803065271</v>
      </c>
      <c r="AS27" s="19">
        <v>35.936883803065271</v>
      </c>
      <c r="AT27" s="19">
        <v>35.936883803065271</v>
      </c>
      <c r="AU27" s="19">
        <v>35.936883803065271</v>
      </c>
      <c r="AV27" s="19">
        <v>35.936883803065271</v>
      </c>
      <c r="AW27" s="19">
        <v>35.936883803065271</v>
      </c>
      <c r="AX27" s="19">
        <v>35.936883803065271</v>
      </c>
      <c r="AY27" s="19">
        <v>35.936883803065271</v>
      </c>
      <c r="AZ27" s="19">
        <v>35.936883803065271</v>
      </c>
      <c r="BA27" s="19">
        <v>35.936883803065271</v>
      </c>
      <c r="BB27" s="19">
        <v>35.936883803065271</v>
      </c>
      <c r="BC27" s="19">
        <v>35.936883803065271</v>
      </c>
      <c r="BD27" s="19">
        <v>35.936883803065271</v>
      </c>
      <c r="BE27" s="19">
        <v>35.936883803065271</v>
      </c>
      <c r="BF27" s="19">
        <v>35.936883803065271</v>
      </c>
      <c r="BG27" s="19">
        <v>35.936883803065271</v>
      </c>
      <c r="BH27" s="19">
        <v>35.936883803065271</v>
      </c>
      <c r="BI27" s="19">
        <v>35.936883803065271</v>
      </c>
      <c r="BJ27" s="19">
        <v>35.936883803065271</v>
      </c>
      <c r="BK27" s="19">
        <v>35.936883803065271</v>
      </c>
      <c r="BL27" s="19">
        <v>35.936883803065271</v>
      </c>
      <c r="BM27" s="19">
        <v>35.936883803065271</v>
      </c>
      <c r="BN27" s="19">
        <v>35.936883803065271</v>
      </c>
      <c r="BO27" s="19">
        <v>35.936883803065271</v>
      </c>
      <c r="BP27" s="19">
        <v>35.936883803065271</v>
      </c>
      <c r="BQ27" s="19">
        <v>35.936883803065271</v>
      </c>
      <c r="BR27" s="19">
        <v>35.936883803065271</v>
      </c>
      <c r="BS27" s="19">
        <v>35.936883803065271</v>
      </c>
      <c r="BT27" s="19">
        <v>35.936883803065271</v>
      </c>
      <c r="BU27" s="19">
        <v>35.936883803065271</v>
      </c>
      <c r="BV27" s="19">
        <v>35.936883803065271</v>
      </c>
      <c r="BW27" s="19">
        <v>35.936883803065271</v>
      </c>
      <c r="BX27" s="19">
        <v>35.936883803065271</v>
      </c>
      <c r="BY27" s="19">
        <v>35.936883803065271</v>
      </c>
      <c r="BZ27" s="19">
        <v>35.936883803065271</v>
      </c>
      <c r="CA27" s="19">
        <v>35.936883803065271</v>
      </c>
      <c r="CB27" s="19">
        <v>35.936883803065271</v>
      </c>
      <c r="CC27" s="19">
        <v>35.936883803065271</v>
      </c>
      <c r="CD27" s="19">
        <v>35.936883803065271</v>
      </c>
      <c r="CE27" s="19">
        <v>35.936883803065271</v>
      </c>
      <c r="CF27" s="19">
        <v>35.936883803065271</v>
      </c>
      <c r="CG27" s="19">
        <v>35.936883803065271</v>
      </c>
      <c r="CH27" s="19">
        <v>35.936883803065271</v>
      </c>
      <c r="CI27" s="19">
        <v>35.936883803065271</v>
      </c>
      <c r="CJ27" s="19">
        <v>35.936883803065271</v>
      </c>
      <c r="CK27" s="19">
        <v>35.936883803065271</v>
      </c>
      <c r="CL27" s="19">
        <v>35.936883803065271</v>
      </c>
      <c r="CM27" s="19">
        <v>35.936883803065271</v>
      </c>
      <c r="CN27" s="19">
        <v>35.936883803065271</v>
      </c>
      <c r="CO27" s="19">
        <v>35.936883803065271</v>
      </c>
      <c r="CP27" s="21"/>
      <c r="CQ27" s="21"/>
      <c r="CR27" s="21"/>
      <c r="CS27" s="21"/>
      <c r="CT27" s="21"/>
      <c r="CU27" s="21"/>
      <c r="CV27" s="21"/>
      <c r="CW27" s="21"/>
      <c r="CX27" s="21"/>
      <c r="CY27" s="21"/>
      <c r="CZ27" s="21"/>
      <c r="DA27" s="21"/>
      <c r="DB27" s="21"/>
      <c r="DC27" s="21"/>
      <c r="DD27" s="21"/>
      <c r="DE27" s="21"/>
      <c r="DF27" s="21"/>
      <c r="DG27" s="21"/>
      <c r="DH27" s="21"/>
    </row>
    <row r="28" spans="1:112" s="6" customFormat="1" x14ac:dyDescent="0.2">
      <c r="A28" s="4" t="s">
        <v>66</v>
      </c>
      <c r="B28" s="5" t="s">
        <v>44</v>
      </c>
      <c r="C28" s="16">
        <v>25.790100911128913</v>
      </c>
      <c r="D28" s="16">
        <v>25.790100911128913</v>
      </c>
      <c r="E28" s="16">
        <v>26.538122098578032</v>
      </c>
      <c r="F28" s="16">
        <v>27.286143286027151</v>
      </c>
      <c r="G28" s="19">
        <v>28.034164473476274</v>
      </c>
      <c r="H28" s="19">
        <v>28.782185660925393</v>
      </c>
      <c r="I28" s="19">
        <v>29.530206848374519</v>
      </c>
      <c r="J28" s="19">
        <v>29.530206848374519</v>
      </c>
      <c r="K28" s="19">
        <v>29.530206848374519</v>
      </c>
      <c r="L28" s="19">
        <v>29.530206848374519</v>
      </c>
      <c r="M28" s="19">
        <v>29.530206848374519</v>
      </c>
      <c r="N28" s="19">
        <v>29.530206848374519</v>
      </c>
      <c r="O28" s="19">
        <v>29.530206848374519</v>
      </c>
      <c r="P28" s="19">
        <v>29.530206848374519</v>
      </c>
      <c r="Q28" s="19">
        <v>29.530206848374519</v>
      </c>
      <c r="R28" s="19">
        <v>29.530206848374519</v>
      </c>
      <c r="S28" s="19">
        <v>29.530206848374519</v>
      </c>
      <c r="T28" s="19">
        <v>29.530206848374519</v>
      </c>
      <c r="U28" s="19">
        <v>29.530206848374519</v>
      </c>
      <c r="V28" s="19">
        <v>29.530206848374519</v>
      </c>
      <c r="W28" s="26">
        <v>29.530206848374519</v>
      </c>
      <c r="X28" s="19">
        <v>29.530206848374519</v>
      </c>
      <c r="Y28" s="19">
        <v>29.530206848374519</v>
      </c>
      <c r="Z28" s="19">
        <v>29.530206848374519</v>
      </c>
      <c r="AA28" s="19">
        <v>29.530206848374519</v>
      </c>
      <c r="AB28" s="19">
        <v>29.530206848374519</v>
      </c>
      <c r="AC28" s="19">
        <v>29.530206848374519</v>
      </c>
      <c r="AD28" s="19">
        <v>29.530206848374519</v>
      </c>
      <c r="AE28" s="19">
        <v>29.530206848374519</v>
      </c>
      <c r="AF28" s="19">
        <v>29.530206848374519</v>
      </c>
      <c r="AG28" s="19">
        <v>29.530206848374519</v>
      </c>
      <c r="AH28" s="19">
        <v>29.530206848374519</v>
      </c>
      <c r="AI28" s="19">
        <v>29.530206848374519</v>
      </c>
      <c r="AJ28" s="19">
        <v>29.530206848374519</v>
      </c>
      <c r="AK28" s="19">
        <v>29.530206848374519</v>
      </c>
      <c r="AL28" s="19">
        <v>29.530206848374519</v>
      </c>
      <c r="AM28" s="19">
        <v>29.530206848374519</v>
      </c>
      <c r="AN28" s="19">
        <v>29.530206848374519</v>
      </c>
      <c r="AO28" s="19">
        <v>29.530206848374519</v>
      </c>
      <c r="AP28" s="19">
        <v>29.530206848374519</v>
      </c>
      <c r="AQ28" s="19">
        <v>29.530206848374519</v>
      </c>
      <c r="AR28" s="19">
        <v>29.530206848374519</v>
      </c>
      <c r="AS28" s="19">
        <v>29.530206848374519</v>
      </c>
      <c r="AT28" s="19">
        <v>29.530206848374519</v>
      </c>
      <c r="AU28" s="19">
        <v>29.530206848374519</v>
      </c>
      <c r="AV28" s="19">
        <v>29.530206848374519</v>
      </c>
      <c r="AW28" s="19">
        <v>29.530206848374519</v>
      </c>
      <c r="AX28" s="19">
        <v>29.530206848374519</v>
      </c>
      <c r="AY28" s="19">
        <v>29.530206848374519</v>
      </c>
      <c r="AZ28" s="19">
        <v>29.530206848374519</v>
      </c>
      <c r="BA28" s="19">
        <v>29.530206848374519</v>
      </c>
      <c r="BB28" s="19">
        <v>29.530206848374519</v>
      </c>
      <c r="BC28" s="19">
        <v>29.530206848374519</v>
      </c>
      <c r="BD28" s="19">
        <v>29.530206848374519</v>
      </c>
      <c r="BE28" s="19">
        <v>29.530206848374519</v>
      </c>
      <c r="BF28" s="19">
        <v>29.530206848374519</v>
      </c>
      <c r="BG28" s="19">
        <v>29.530206848374519</v>
      </c>
      <c r="BH28" s="19">
        <v>29.530206848374519</v>
      </c>
      <c r="BI28" s="19">
        <v>29.530206848374519</v>
      </c>
      <c r="BJ28" s="19">
        <v>29.530206848374519</v>
      </c>
      <c r="BK28" s="19">
        <v>29.530206848374519</v>
      </c>
      <c r="BL28" s="19">
        <v>29.530206848374519</v>
      </c>
      <c r="BM28" s="19">
        <v>29.530206848374519</v>
      </c>
      <c r="BN28" s="19">
        <v>29.530206848374519</v>
      </c>
      <c r="BO28" s="19">
        <v>29.530206848374519</v>
      </c>
      <c r="BP28" s="19">
        <v>29.530206848374519</v>
      </c>
      <c r="BQ28" s="19">
        <v>29.530206848374519</v>
      </c>
      <c r="BR28" s="19">
        <v>29.530206848374519</v>
      </c>
      <c r="BS28" s="19">
        <v>29.530206848374519</v>
      </c>
      <c r="BT28" s="19">
        <v>29.530206848374519</v>
      </c>
      <c r="BU28" s="19">
        <v>29.530206848374519</v>
      </c>
      <c r="BV28" s="19">
        <v>29.530206848374519</v>
      </c>
      <c r="BW28" s="19">
        <v>29.530206848374519</v>
      </c>
      <c r="BX28" s="19">
        <v>29.530206848374519</v>
      </c>
      <c r="BY28" s="19">
        <v>29.530206848374519</v>
      </c>
      <c r="BZ28" s="19">
        <v>29.530206848374519</v>
      </c>
      <c r="CA28" s="19">
        <v>29.530206848374519</v>
      </c>
      <c r="CB28" s="19">
        <v>29.530206848374519</v>
      </c>
      <c r="CC28" s="19">
        <v>29.530206848374519</v>
      </c>
      <c r="CD28" s="19">
        <v>29.530206848374519</v>
      </c>
      <c r="CE28" s="19">
        <v>29.530206848374519</v>
      </c>
      <c r="CF28" s="19">
        <v>29.530206848374519</v>
      </c>
      <c r="CG28" s="19">
        <v>29.530206848374519</v>
      </c>
      <c r="CH28" s="19">
        <v>29.530206848374519</v>
      </c>
      <c r="CI28" s="19">
        <v>29.530206848374519</v>
      </c>
      <c r="CJ28" s="19">
        <v>29.530206848374519</v>
      </c>
      <c r="CK28" s="19">
        <v>29.530206848374519</v>
      </c>
      <c r="CL28" s="19">
        <v>29.530206848374519</v>
      </c>
      <c r="CM28" s="19">
        <v>29.530206848374519</v>
      </c>
      <c r="CN28" s="19">
        <v>29.530206848374519</v>
      </c>
      <c r="CO28" s="19">
        <v>29.530206848374519</v>
      </c>
      <c r="CP28" s="25"/>
      <c r="CQ28" s="25"/>
      <c r="CR28" s="25"/>
      <c r="CS28" s="25"/>
      <c r="CT28" s="25"/>
      <c r="CU28" s="25"/>
      <c r="CV28" s="25"/>
      <c r="CW28" s="25"/>
      <c r="CX28" s="25"/>
      <c r="CY28" s="25"/>
      <c r="CZ28" s="25"/>
      <c r="DA28" s="25"/>
      <c r="DB28" s="25"/>
      <c r="DC28" s="25"/>
      <c r="DD28" s="25"/>
      <c r="DE28" s="25"/>
      <c r="DF28" s="25"/>
      <c r="DG28" s="25"/>
      <c r="DH28" s="25"/>
    </row>
    <row r="29" spans="1:112" s="6" customFormat="1" x14ac:dyDescent="0.2">
      <c r="A29" s="4" t="s">
        <v>67</v>
      </c>
      <c r="B29" s="5" t="s">
        <v>44</v>
      </c>
      <c r="C29" s="19">
        <v>22.796577468128287</v>
      </c>
      <c r="D29" s="19">
        <v>22.796577468128287</v>
      </c>
      <c r="E29" s="19">
        <v>23.598719051568558</v>
      </c>
      <c r="F29" s="19">
        <v>24.400860635008829</v>
      </c>
      <c r="G29" s="19">
        <v>25.2030022184491</v>
      </c>
      <c r="H29" s="19">
        <v>26.005143801889375</v>
      </c>
      <c r="I29" s="19">
        <v>26.807285385329649</v>
      </c>
      <c r="J29" s="19">
        <v>26.807285385329649</v>
      </c>
      <c r="K29" s="19">
        <v>26.807285385329649</v>
      </c>
      <c r="L29" s="19">
        <v>26.807285385329649</v>
      </c>
      <c r="M29" s="19">
        <v>26.807285385329649</v>
      </c>
      <c r="N29" s="19">
        <v>26.807285385329649</v>
      </c>
      <c r="O29" s="19">
        <v>26.807285385329649</v>
      </c>
      <c r="P29" s="19">
        <v>26.807285385329649</v>
      </c>
      <c r="Q29" s="19">
        <v>26.807285385329649</v>
      </c>
      <c r="R29" s="19">
        <v>26.807285385329649</v>
      </c>
      <c r="S29" s="19">
        <v>26.807285385329649</v>
      </c>
      <c r="T29" s="19">
        <v>26.807285385329649</v>
      </c>
      <c r="U29" s="19">
        <v>26.807285385329649</v>
      </c>
      <c r="V29" s="19">
        <v>26.807285385329649</v>
      </c>
      <c r="W29" s="26">
        <v>26.807285385329649</v>
      </c>
      <c r="X29" s="19">
        <v>26.807285385329649</v>
      </c>
      <c r="Y29" s="19">
        <v>26.807285385329649</v>
      </c>
      <c r="Z29" s="19">
        <v>26.807285385329649</v>
      </c>
      <c r="AA29" s="19">
        <v>26.807285385329649</v>
      </c>
      <c r="AB29" s="19">
        <v>26.807285385329649</v>
      </c>
      <c r="AC29" s="19">
        <v>26.807285385329649</v>
      </c>
      <c r="AD29" s="19">
        <v>26.807285385329649</v>
      </c>
      <c r="AE29" s="19">
        <v>26.807285385329649</v>
      </c>
      <c r="AF29" s="19">
        <v>26.807285385329649</v>
      </c>
      <c r="AG29" s="19">
        <v>26.807285385329649</v>
      </c>
      <c r="AH29" s="19">
        <v>26.807285385329649</v>
      </c>
      <c r="AI29" s="19">
        <v>26.807285385329649</v>
      </c>
      <c r="AJ29" s="19">
        <v>26.807285385329649</v>
      </c>
      <c r="AK29" s="19">
        <v>26.807285385329649</v>
      </c>
      <c r="AL29" s="19">
        <v>26.807285385329649</v>
      </c>
      <c r="AM29" s="19">
        <v>26.807285385329649</v>
      </c>
      <c r="AN29" s="19">
        <v>26.807285385329649</v>
      </c>
      <c r="AO29" s="19">
        <v>26.807285385329649</v>
      </c>
      <c r="AP29" s="19">
        <v>26.807285385329649</v>
      </c>
      <c r="AQ29" s="19">
        <v>26.807285385329649</v>
      </c>
      <c r="AR29" s="19">
        <v>26.807285385329649</v>
      </c>
      <c r="AS29" s="19">
        <v>26.807285385329649</v>
      </c>
      <c r="AT29" s="19">
        <v>26.807285385329649</v>
      </c>
      <c r="AU29" s="19">
        <v>26.807285385329649</v>
      </c>
      <c r="AV29" s="19">
        <v>26.807285385329649</v>
      </c>
      <c r="AW29" s="19">
        <v>26.807285385329649</v>
      </c>
      <c r="AX29" s="19">
        <v>26.807285385329649</v>
      </c>
      <c r="AY29" s="19">
        <v>26.807285385329649</v>
      </c>
      <c r="AZ29" s="19">
        <v>26.807285385329649</v>
      </c>
      <c r="BA29" s="19">
        <v>26.807285385329649</v>
      </c>
      <c r="BB29" s="19">
        <v>26.807285385329649</v>
      </c>
      <c r="BC29" s="19">
        <v>26.807285385329649</v>
      </c>
      <c r="BD29" s="19">
        <v>26.807285385329649</v>
      </c>
      <c r="BE29" s="19">
        <v>26.807285385329649</v>
      </c>
      <c r="BF29" s="19">
        <v>26.807285385329649</v>
      </c>
      <c r="BG29" s="19">
        <v>26.807285385329649</v>
      </c>
      <c r="BH29" s="19">
        <v>26.807285385329649</v>
      </c>
      <c r="BI29" s="19">
        <v>26.807285385329649</v>
      </c>
      <c r="BJ29" s="19">
        <v>26.807285385329649</v>
      </c>
      <c r="BK29" s="19">
        <v>26.807285385329649</v>
      </c>
      <c r="BL29" s="19">
        <v>26.807285385329649</v>
      </c>
      <c r="BM29" s="19">
        <v>26.807285385329649</v>
      </c>
      <c r="BN29" s="19">
        <v>26.807285385329649</v>
      </c>
      <c r="BO29" s="19">
        <v>26.807285385329649</v>
      </c>
      <c r="BP29" s="19">
        <v>26.807285385329649</v>
      </c>
      <c r="BQ29" s="19">
        <v>26.807285385329649</v>
      </c>
      <c r="BR29" s="19">
        <v>26.807285385329649</v>
      </c>
      <c r="BS29" s="19">
        <v>26.807285385329649</v>
      </c>
      <c r="BT29" s="19">
        <v>26.807285385329649</v>
      </c>
      <c r="BU29" s="19">
        <v>26.807285385329649</v>
      </c>
      <c r="BV29" s="19">
        <v>26.807285385329649</v>
      </c>
      <c r="BW29" s="19">
        <v>26.807285385329649</v>
      </c>
      <c r="BX29" s="19">
        <v>26.807285385329649</v>
      </c>
      <c r="BY29" s="19">
        <v>26.807285385329649</v>
      </c>
      <c r="BZ29" s="19">
        <v>26.807285385329649</v>
      </c>
      <c r="CA29" s="19">
        <v>26.807285385329649</v>
      </c>
      <c r="CB29" s="19">
        <v>26.807285385329649</v>
      </c>
      <c r="CC29" s="19">
        <v>26.807285385329649</v>
      </c>
      <c r="CD29" s="19">
        <v>26.807285385329649</v>
      </c>
      <c r="CE29" s="19">
        <v>26.807285385329649</v>
      </c>
      <c r="CF29" s="19">
        <v>26.807285385329649</v>
      </c>
      <c r="CG29" s="19">
        <v>26.807285385329649</v>
      </c>
      <c r="CH29" s="19">
        <v>26.807285385329649</v>
      </c>
      <c r="CI29" s="19">
        <v>26.807285385329649</v>
      </c>
      <c r="CJ29" s="19">
        <v>26.807285385329649</v>
      </c>
      <c r="CK29" s="19">
        <v>26.807285385329649</v>
      </c>
      <c r="CL29" s="19">
        <v>26.807285385329649</v>
      </c>
      <c r="CM29" s="19">
        <v>26.807285385329649</v>
      </c>
      <c r="CN29" s="19">
        <v>26.807285385329649</v>
      </c>
      <c r="CO29" s="19">
        <v>26.807285385329649</v>
      </c>
      <c r="CP29" s="25"/>
      <c r="CQ29" s="25"/>
      <c r="CR29" s="25"/>
      <c r="CS29" s="25"/>
      <c r="CT29" s="25"/>
      <c r="CU29" s="25"/>
      <c r="CV29" s="25"/>
      <c r="CW29" s="25"/>
      <c r="CX29" s="25"/>
      <c r="CY29" s="25"/>
      <c r="CZ29" s="25"/>
      <c r="DA29" s="25"/>
      <c r="DB29" s="25"/>
      <c r="DC29" s="25"/>
      <c r="DD29" s="25"/>
      <c r="DE29" s="25"/>
      <c r="DF29" s="25"/>
      <c r="DG29" s="25"/>
      <c r="DH29" s="25"/>
    </row>
    <row r="30" spans="1:112" s="6" customFormat="1" x14ac:dyDescent="0.2">
      <c r="A30" s="4" t="s">
        <v>68</v>
      </c>
      <c r="B30" s="5" t="s">
        <v>44</v>
      </c>
      <c r="C30" s="19">
        <v>19.078675885863912</v>
      </c>
      <c r="D30" s="19">
        <v>19.078675885863912</v>
      </c>
      <c r="E30" s="19">
        <v>19.880817469304183</v>
      </c>
      <c r="F30" s="19">
        <v>20.682959052744454</v>
      </c>
      <c r="G30" s="19">
        <v>21.485100636184725</v>
      </c>
      <c r="H30" s="19">
        <v>22.287242219625</v>
      </c>
      <c r="I30" s="19">
        <v>23.089383803065274</v>
      </c>
      <c r="J30" s="19">
        <v>23.089383803065274</v>
      </c>
      <c r="K30" s="19">
        <v>23.089383803065274</v>
      </c>
      <c r="L30" s="19">
        <v>23.089383803065274</v>
      </c>
      <c r="M30" s="19">
        <v>23.089383803065274</v>
      </c>
      <c r="N30" s="19">
        <v>23.089383803065274</v>
      </c>
      <c r="O30" s="19">
        <v>23.089383803065274</v>
      </c>
      <c r="P30" s="19">
        <v>23.089383803065274</v>
      </c>
      <c r="Q30" s="19">
        <v>23.089383803065274</v>
      </c>
      <c r="R30" s="19">
        <v>23.089383803065274</v>
      </c>
      <c r="S30" s="19">
        <v>23.089383803065274</v>
      </c>
      <c r="T30" s="19">
        <v>23.089383803065274</v>
      </c>
      <c r="U30" s="19">
        <v>23.089383803065274</v>
      </c>
      <c r="V30" s="19">
        <v>23.089383803065274</v>
      </c>
      <c r="W30" s="26">
        <v>23.089383803065274</v>
      </c>
      <c r="X30" s="19">
        <v>23.089383803065274</v>
      </c>
      <c r="Y30" s="19">
        <v>23.089383803065274</v>
      </c>
      <c r="Z30" s="19">
        <v>23.089383803065274</v>
      </c>
      <c r="AA30" s="19">
        <v>23.089383803065274</v>
      </c>
      <c r="AB30" s="19">
        <v>23.089383803065274</v>
      </c>
      <c r="AC30" s="19">
        <v>23.089383803065274</v>
      </c>
      <c r="AD30" s="19">
        <v>23.089383803065274</v>
      </c>
      <c r="AE30" s="19">
        <v>23.089383803065274</v>
      </c>
      <c r="AF30" s="19">
        <v>23.089383803065274</v>
      </c>
      <c r="AG30" s="19">
        <v>23.089383803065274</v>
      </c>
      <c r="AH30" s="19">
        <v>23.089383803065274</v>
      </c>
      <c r="AI30" s="19">
        <v>23.089383803065274</v>
      </c>
      <c r="AJ30" s="19">
        <v>23.089383803065274</v>
      </c>
      <c r="AK30" s="19">
        <v>23.089383803065274</v>
      </c>
      <c r="AL30" s="19">
        <v>23.089383803065274</v>
      </c>
      <c r="AM30" s="19">
        <v>23.089383803065274</v>
      </c>
      <c r="AN30" s="19">
        <v>23.089383803065274</v>
      </c>
      <c r="AO30" s="19">
        <v>23.089383803065274</v>
      </c>
      <c r="AP30" s="19">
        <v>23.089383803065274</v>
      </c>
      <c r="AQ30" s="19">
        <v>23.089383803065274</v>
      </c>
      <c r="AR30" s="19">
        <v>23.089383803065274</v>
      </c>
      <c r="AS30" s="19">
        <v>23.089383803065274</v>
      </c>
      <c r="AT30" s="19">
        <v>23.089383803065274</v>
      </c>
      <c r="AU30" s="19">
        <v>23.089383803065274</v>
      </c>
      <c r="AV30" s="19">
        <v>23.089383803065274</v>
      </c>
      <c r="AW30" s="19">
        <v>23.089383803065274</v>
      </c>
      <c r="AX30" s="19">
        <v>23.089383803065274</v>
      </c>
      <c r="AY30" s="19">
        <v>23.089383803065274</v>
      </c>
      <c r="AZ30" s="19">
        <v>23.089383803065274</v>
      </c>
      <c r="BA30" s="19">
        <v>23.089383803065274</v>
      </c>
      <c r="BB30" s="19">
        <v>23.089383803065274</v>
      </c>
      <c r="BC30" s="19">
        <v>23.089383803065274</v>
      </c>
      <c r="BD30" s="19">
        <v>23.089383803065274</v>
      </c>
      <c r="BE30" s="19">
        <v>23.089383803065274</v>
      </c>
      <c r="BF30" s="19">
        <v>23.089383803065274</v>
      </c>
      <c r="BG30" s="19">
        <v>23.089383803065274</v>
      </c>
      <c r="BH30" s="19">
        <v>23.089383803065274</v>
      </c>
      <c r="BI30" s="19">
        <v>23.089383803065274</v>
      </c>
      <c r="BJ30" s="19">
        <v>23.089383803065274</v>
      </c>
      <c r="BK30" s="19">
        <v>23.089383803065274</v>
      </c>
      <c r="BL30" s="19">
        <v>23.089383803065274</v>
      </c>
      <c r="BM30" s="19">
        <v>23.089383803065274</v>
      </c>
      <c r="BN30" s="19">
        <v>23.089383803065274</v>
      </c>
      <c r="BO30" s="19">
        <v>23.089383803065274</v>
      </c>
      <c r="BP30" s="19">
        <v>23.089383803065274</v>
      </c>
      <c r="BQ30" s="19">
        <v>23.089383803065274</v>
      </c>
      <c r="BR30" s="19">
        <v>23.089383803065274</v>
      </c>
      <c r="BS30" s="19">
        <v>23.089383803065274</v>
      </c>
      <c r="BT30" s="19">
        <v>23.089383803065274</v>
      </c>
      <c r="BU30" s="19">
        <v>23.089383803065274</v>
      </c>
      <c r="BV30" s="19">
        <v>23.089383803065274</v>
      </c>
      <c r="BW30" s="19">
        <v>23.089383803065274</v>
      </c>
      <c r="BX30" s="19">
        <v>23.089383803065274</v>
      </c>
      <c r="BY30" s="19">
        <v>23.089383803065274</v>
      </c>
      <c r="BZ30" s="19">
        <v>23.089383803065274</v>
      </c>
      <c r="CA30" s="19">
        <v>23.089383803065274</v>
      </c>
      <c r="CB30" s="19">
        <v>23.089383803065274</v>
      </c>
      <c r="CC30" s="19">
        <v>23.089383803065274</v>
      </c>
      <c r="CD30" s="19">
        <v>23.089383803065274</v>
      </c>
      <c r="CE30" s="19">
        <v>23.089383803065274</v>
      </c>
      <c r="CF30" s="19">
        <v>23.089383803065274</v>
      </c>
      <c r="CG30" s="19">
        <v>23.089383803065274</v>
      </c>
      <c r="CH30" s="19">
        <v>23.089383803065274</v>
      </c>
      <c r="CI30" s="19">
        <v>23.089383803065274</v>
      </c>
      <c r="CJ30" s="19">
        <v>23.089383803065274</v>
      </c>
      <c r="CK30" s="19">
        <v>23.089383803065274</v>
      </c>
      <c r="CL30" s="19">
        <v>23.089383803065274</v>
      </c>
      <c r="CM30" s="19">
        <v>23.089383803065274</v>
      </c>
      <c r="CN30" s="19">
        <v>23.089383803065274</v>
      </c>
      <c r="CO30" s="19">
        <v>23.089383803065274</v>
      </c>
      <c r="CP30" s="25"/>
      <c r="CQ30" s="25"/>
      <c r="CR30" s="25"/>
      <c r="CS30" s="25"/>
      <c r="CT30" s="25"/>
      <c r="CU30" s="25"/>
      <c r="CV30" s="25"/>
      <c r="CW30" s="25"/>
      <c r="CX30" s="25"/>
      <c r="CY30" s="25"/>
      <c r="CZ30" s="25"/>
      <c r="DA30" s="25"/>
      <c r="DB30" s="25"/>
      <c r="DC30" s="25"/>
      <c r="DD30" s="25"/>
      <c r="DE30" s="25"/>
      <c r="DF30" s="25"/>
      <c r="DG30" s="25"/>
      <c r="DH30" s="25"/>
    </row>
    <row r="31" spans="1:112" x14ac:dyDescent="0.2">
      <c r="C31" s="19"/>
      <c r="D31" s="19"/>
      <c r="E31" s="19"/>
      <c r="F31" s="19"/>
      <c r="G31" s="19"/>
      <c r="H31" s="19"/>
      <c r="I31" s="19"/>
      <c r="J31" s="19"/>
      <c r="K31" s="19"/>
      <c r="L31" s="19"/>
      <c r="M31" s="19"/>
      <c r="N31" s="19"/>
      <c r="O31" s="19"/>
      <c r="P31" s="19"/>
      <c r="Q31" s="19"/>
      <c r="R31" s="19"/>
      <c r="S31" s="19"/>
      <c r="T31" s="19"/>
      <c r="U31" s="19"/>
      <c r="V31" s="19"/>
      <c r="W31" s="26"/>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row>
    <row r="32" spans="1:112" x14ac:dyDescent="0.2">
      <c r="A32" s="4" t="s">
        <v>45</v>
      </c>
      <c r="B32" s="5" t="s">
        <v>44</v>
      </c>
      <c r="C32" s="19">
        <v>100.55864132189997</v>
      </c>
      <c r="D32" s="19">
        <v>103.02034612574921</v>
      </c>
      <c r="E32" s="19">
        <v>106.81643319305073</v>
      </c>
      <c r="F32" s="19">
        <v>109.36595229203584</v>
      </c>
      <c r="G32" s="19">
        <v>111.42846758480984</v>
      </c>
      <c r="H32" s="19">
        <v>112.63164206055657</v>
      </c>
      <c r="I32" s="19">
        <v>113.57513851945134</v>
      </c>
      <c r="J32" s="19">
        <v>113.55391188065394</v>
      </c>
      <c r="K32" s="19">
        <v>113.5327028165579</v>
      </c>
      <c r="L32" s="19">
        <v>113.51151131861101</v>
      </c>
      <c r="M32" s="19">
        <v>113.49033737826525</v>
      </c>
      <c r="N32" s="19">
        <v>113.46918098697684</v>
      </c>
      <c r="O32" s="19">
        <v>113.44804213620608</v>
      </c>
      <c r="P32" s="19">
        <v>113.42692081741738</v>
      </c>
      <c r="Q32" s="19">
        <v>113.4058170220794</v>
      </c>
      <c r="R32" s="19">
        <v>113.38473074166492</v>
      </c>
      <c r="S32" s="19">
        <v>113.36366196765086</v>
      </c>
      <c r="T32" s="19">
        <v>113.34261069151827</v>
      </c>
      <c r="U32" s="19">
        <v>113.3215769047524</v>
      </c>
      <c r="V32" s="19">
        <v>113.30056059884257</v>
      </c>
      <c r="W32" s="26">
        <v>113.27956176528232</v>
      </c>
      <c r="X32" s="19">
        <v>113.24369102313156</v>
      </c>
      <c r="Y32" s="19">
        <v>113.20783773632979</v>
      </c>
      <c r="Z32" s="19">
        <v>113.17200189638289</v>
      </c>
      <c r="AA32" s="19">
        <v>113.13618349480093</v>
      </c>
      <c r="AB32" s="19">
        <v>113.10038252309813</v>
      </c>
      <c r="AC32" s="19">
        <v>113.10038252309813</v>
      </c>
      <c r="AD32" s="19">
        <v>113.10038252309813</v>
      </c>
      <c r="AE32" s="19">
        <v>113.10038252309813</v>
      </c>
      <c r="AF32" s="19">
        <v>113.10038252309813</v>
      </c>
      <c r="AG32" s="19">
        <v>113.10038252309813</v>
      </c>
      <c r="AH32" s="19">
        <v>113.10038252309813</v>
      </c>
      <c r="AI32" s="19">
        <v>113.10038252309813</v>
      </c>
      <c r="AJ32" s="19">
        <v>113.10038252309813</v>
      </c>
      <c r="AK32" s="19">
        <v>113.10038252309813</v>
      </c>
      <c r="AL32" s="19">
        <v>113.10038252309813</v>
      </c>
      <c r="AM32" s="19">
        <v>113.10038252309813</v>
      </c>
      <c r="AN32" s="19">
        <v>113.10038252309813</v>
      </c>
      <c r="AO32" s="19">
        <v>113.10038252309813</v>
      </c>
      <c r="AP32" s="19">
        <v>113.10038252309813</v>
      </c>
      <c r="AQ32" s="19">
        <v>113.10038252309813</v>
      </c>
      <c r="AR32" s="19">
        <v>113.10038252309813</v>
      </c>
      <c r="AS32" s="19">
        <v>113.10038252309813</v>
      </c>
      <c r="AT32" s="19">
        <v>113.10038252309813</v>
      </c>
      <c r="AU32" s="19">
        <v>113.10038252309813</v>
      </c>
      <c r="AV32" s="19">
        <v>113.10038252309813</v>
      </c>
      <c r="AW32" s="19">
        <v>113.10038252309813</v>
      </c>
      <c r="AX32" s="19">
        <v>113.10038252309813</v>
      </c>
      <c r="AY32" s="19">
        <v>113.10038252309813</v>
      </c>
      <c r="AZ32" s="19">
        <v>113.10038252309813</v>
      </c>
      <c r="BA32" s="19">
        <v>113.10038252309813</v>
      </c>
      <c r="BB32" s="19">
        <v>113.10038252309813</v>
      </c>
      <c r="BC32" s="19">
        <v>113.10038252309813</v>
      </c>
      <c r="BD32" s="19">
        <v>113.10038252309813</v>
      </c>
      <c r="BE32" s="19">
        <v>113.10038252309813</v>
      </c>
      <c r="BF32" s="19">
        <v>113.10038252309813</v>
      </c>
      <c r="BG32" s="19">
        <v>113.10038252309813</v>
      </c>
      <c r="BH32" s="19">
        <v>113.10038252309813</v>
      </c>
      <c r="BI32" s="19">
        <v>113.10038252309813</v>
      </c>
      <c r="BJ32" s="19">
        <v>113.10038252309813</v>
      </c>
      <c r="BK32" s="19">
        <v>113.10038252309813</v>
      </c>
      <c r="BL32" s="19">
        <v>113.10038252309813</v>
      </c>
      <c r="BM32" s="19">
        <v>113.10038252309813</v>
      </c>
      <c r="BN32" s="19">
        <v>113.10038252309813</v>
      </c>
      <c r="BO32" s="19">
        <v>113.10038252309813</v>
      </c>
      <c r="BP32" s="19">
        <v>113.10038252309813</v>
      </c>
      <c r="BQ32" s="19">
        <v>113.10038252309813</v>
      </c>
      <c r="BR32" s="19">
        <v>113.10038252309813</v>
      </c>
      <c r="BS32" s="19">
        <v>113.10038252309813</v>
      </c>
      <c r="BT32" s="19">
        <v>113.10038252309813</v>
      </c>
      <c r="BU32" s="19">
        <v>113.10038252309813</v>
      </c>
      <c r="BV32" s="19">
        <v>113.10038252309813</v>
      </c>
      <c r="BW32" s="19">
        <v>113.10038252309813</v>
      </c>
      <c r="BX32" s="19">
        <v>113.10038252309813</v>
      </c>
      <c r="BY32" s="19">
        <v>113.10038252309813</v>
      </c>
      <c r="BZ32" s="19">
        <v>113.10038252309813</v>
      </c>
      <c r="CA32" s="19">
        <v>113.10038252309813</v>
      </c>
      <c r="CB32" s="19">
        <v>113.10038252309813</v>
      </c>
      <c r="CC32" s="19">
        <v>113.10038252309813</v>
      </c>
      <c r="CD32" s="19">
        <v>113.10038252309813</v>
      </c>
      <c r="CE32" s="19">
        <v>113.10038252309813</v>
      </c>
      <c r="CF32" s="19">
        <v>113.10038252309813</v>
      </c>
      <c r="CG32" s="19">
        <v>113.10038252309813</v>
      </c>
      <c r="CH32" s="19">
        <v>113.10038252309813</v>
      </c>
      <c r="CI32" s="19">
        <v>113.10038252309813</v>
      </c>
      <c r="CJ32" s="19">
        <v>113.10038252309813</v>
      </c>
      <c r="CK32" s="19">
        <v>113.10038252309813</v>
      </c>
      <c r="CL32" s="19">
        <v>113.10038252309813</v>
      </c>
      <c r="CM32" s="19">
        <v>113.10038252309813</v>
      </c>
      <c r="CN32" s="19">
        <v>113.10038252309813</v>
      </c>
      <c r="CO32" s="19">
        <v>113.10038252309813</v>
      </c>
      <c r="CP32" s="21"/>
      <c r="CQ32" s="21"/>
      <c r="CR32" s="21"/>
      <c r="CS32" s="21"/>
      <c r="CT32" s="21"/>
      <c r="CU32" s="21"/>
      <c r="CV32" s="21"/>
      <c r="CW32" s="21"/>
      <c r="CX32" s="21"/>
      <c r="CY32" s="21"/>
      <c r="CZ32" s="21"/>
      <c r="DA32" s="21"/>
      <c r="DB32" s="21"/>
      <c r="DC32" s="21"/>
      <c r="DD32" s="21"/>
      <c r="DE32" s="21"/>
      <c r="DF32" s="21"/>
      <c r="DG32" s="21"/>
      <c r="DH32" s="21"/>
    </row>
    <row r="33" spans="1:112" x14ac:dyDescent="0.2">
      <c r="A33" s="4" t="s">
        <v>46</v>
      </c>
      <c r="B33" s="5" t="s">
        <v>44</v>
      </c>
      <c r="C33" s="19">
        <v>103.65847810665501</v>
      </c>
      <c r="D33" s="19">
        <v>106.10614843023332</v>
      </c>
      <c r="E33" s="19">
        <v>110.02626198140931</v>
      </c>
      <c r="F33" s="19">
        <v>112.6994518057523</v>
      </c>
      <c r="G33" s="19">
        <v>114.88545172550032</v>
      </c>
      <c r="H33" s="19">
        <v>116.21187919618461</v>
      </c>
      <c r="I33" s="19">
        <v>117.27847205108489</v>
      </c>
      <c r="J33" s="19">
        <v>117.2423211480193</v>
      </c>
      <c r="K33" s="19">
        <v>117.20617024495371</v>
      </c>
      <c r="L33" s="19">
        <v>117.17001934188812</v>
      </c>
      <c r="M33" s="19">
        <v>117.13400965328762</v>
      </c>
      <c r="N33" s="19">
        <v>117.09799996468712</v>
      </c>
      <c r="O33" s="19">
        <v>117.06184906162152</v>
      </c>
      <c r="P33" s="19">
        <v>117.025839373021</v>
      </c>
      <c r="Q33" s="19">
        <v>116.98982968442051</v>
      </c>
      <c r="R33" s="19">
        <v>116.95381999582</v>
      </c>
      <c r="S33" s="19">
        <v>116.95381999582</v>
      </c>
      <c r="T33" s="19">
        <v>116.95381999582</v>
      </c>
      <c r="U33" s="19">
        <v>116.95381999582</v>
      </c>
      <c r="V33" s="19">
        <v>116.95381999582</v>
      </c>
      <c r="W33" s="26">
        <v>116.95381999582</v>
      </c>
      <c r="X33" s="19">
        <v>116.95381999582</v>
      </c>
      <c r="Y33" s="19">
        <v>116.95381999582</v>
      </c>
      <c r="Z33" s="19">
        <v>116.95381999582</v>
      </c>
      <c r="AA33" s="19">
        <v>116.95381999582</v>
      </c>
      <c r="AB33" s="19">
        <v>116.95381999582</v>
      </c>
      <c r="AC33" s="19">
        <v>116.95381999582</v>
      </c>
      <c r="AD33" s="19">
        <v>116.95381999582</v>
      </c>
      <c r="AE33" s="19">
        <v>116.95381999582</v>
      </c>
      <c r="AF33" s="19">
        <v>116.95381999582</v>
      </c>
      <c r="AG33" s="19">
        <v>116.95381999582</v>
      </c>
      <c r="AH33" s="19">
        <v>116.95381999582</v>
      </c>
      <c r="AI33" s="19">
        <v>116.95381999582</v>
      </c>
      <c r="AJ33" s="19">
        <v>116.95381999582</v>
      </c>
      <c r="AK33" s="19">
        <v>116.95381999582</v>
      </c>
      <c r="AL33" s="19">
        <v>116.95381999582</v>
      </c>
      <c r="AM33" s="19">
        <v>116.95381999582</v>
      </c>
      <c r="AN33" s="19">
        <v>116.95381999582</v>
      </c>
      <c r="AO33" s="19">
        <v>116.95381999582</v>
      </c>
      <c r="AP33" s="19">
        <v>116.95381999582</v>
      </c>
      <c r="AQ33" s="19">
        <v>116.95381999582</v>
      </c>
      <c r="AR33" s="19">
        <v>116.95381999582</v>
      </c>
      <c r="AS33" s="19">
        <v>116.95381999582</v>
      </c>
      <c r="AT33" s="19">
        <v>116.95381999582</v>
      </c>
      <c r="AU33" s="19">
        <v>116.95381999582</v>
      </c>
      <c r="AV33" s="19">
        <v>116.95381999582</v>
      </c>
      <c r="AW33" s="19">
        <v>116.95381999582</v>
      </c>
      <c r="AX33" s="19">
        <v>116.95381999582</v>
      </c>
      <c r="AY33" s="19">
        <v>116.95381999582</v>
      </c>
      <c r="AZ33" s="19">
        <v>116.95381999582</v>
      </c>
      <c r="BA33" s="19">
        <v>116.95381999582</v>
      </c>
      <c r="BB33" s="19">
        <v>116.95381999582</v>
      </c>
      <c r="BC33" s="19">
        <v>116.95381999582</v>
      </c>
      <c r="BD33" s="19">
        <v>116.95381999582</v>
      </c>
      <c r="BE33" s="19">
        <v>116.95381999582</v>
      </c>
      <c r="BF33" s="19">
        <v>116.95381999582</v>
      </c>
      <c r="BG33" s="19">
        <v>116.95381999582</v>
      </c>
      <c r="BH33" s="19">
        <v>116.95381999582</v>
      </c>
      <c r="BI33" s="19">
        <v>116.95381999582</v>
      </c>
      <c r="BJ33" s="19">
        <v>116.95381999582</v>
      </c>
      <c r="BK33" s="19">
        <v>116.95381999582</v>
      </c>
      <c r="BL33" s="19">
        <v>116.95381999582</v>
      </c>
      <c r="BM33" s="19">
        <v>116.95381999582</v>
      </c>
      <c r="BN33" s="19">
        <v>116.95381999582</v>
      </c>
      <c r="BO33" s="19">
        <v>116.95381999582</v>
      </c>
      <c r="BP33" s="19">
        <v>116.95381999582</v>
      </c>
      <c r="BQ33" s="19">
        <v>116.95381999582</v>
      </c>
      <c r="BR33" s="19">
        <v>116.95381999582</v>
      </c>
      <c r="BS33" s="19">
        <v>116.95381999582</v>
      </c>
      <c r="BT33" s="19">
        <v>116.95381999582</v>
      </c>
      <c r="BU33" s="19">
        <v>116.95381999582</v>
      </c>
      <c r="BV33" s="19">
        <v>116.95381999582</v>
      </c>
      <c r="BW33" s="19">
        <v>116.95381999582</v>
      </c>
      <c r="BX33" s="19">
        <v>116.95381999582</v>
      </c>
      <c r="BY33" s="19">
        <v>116.95381999582</v>
      </c>
      <c r="BZ33" s="19">
        <v>116.95381999582</v>
      </c>
      <c r="CA33" s="19">
        <v>116.95381999582</v>
      </c>
      <c r="CB33" s="19">
        <v>116.95381999582</v>
      </c>
      <c r="CC33" s="19">
        <v>116.95381999582</v>
      </c>
      <c r="CD33" s="19">
        <v>116.95381999582</v>
      </c>
      <c r="CE33" s="19">
        <v>116.95381999582</v>
      </c>
      <c r="CF33" s="19">
        <v>116.95381999582</v>
      </c>
      <c r="CG33" s="19">
        <v>116.95381999582</v>
      </c>
      <c r="CH33" s="19">
        <v>116.95381999582</v>
      </c>
      <c r="CI33" s="19">
        <v>116.95381999582</v>
      </c>
      <c r="CJ33" s="19">
        <v>116.95381999582</v>
      </c>
      <c r="CK33" s="19">
        <v>116.95381999582</v>
      </c>
      <c r="CL33" s="19">
        <v>116.95381999582</v>
      </c>
      <c r="CM33" s="19">
        <v>116.95381999582</v>
      </c>
      <c r="CN33" s="19">
        <v>116.95381999582</v>
      </c>
      <c r="CO33" s="19">
        <v>116.95381999582</v>
      </c>
      <c r="CP33" s="21"/>
      <c r="CQ33" s="21"/>
      <c r="CR33" s="21"/>
      <c r="CS33" s="21"/>
      <c r="CT33" s="21"/>
      <c r="CU33" s="21"/>
      <c r="CV33" s="21"/>
      <c r="CW33" s="21"/>
      <c r="CX33" s="21"/>
      <c r="CY33" s="21"/>
      <c r="CZ33" s="21"/>
      <c r="DA33" s="21"/>
      <c r="DB33" s="21"/>
      <c r="DC33" s="21"/>
      <c r="DD33" s="21"/>
      <c r="DE33" s="21"/>
      <c r="DF33" s="21"/>
      <c r="DG33" s="21"/>
      <c r="DH33" s="21"/>
    </row>
    <row r="34" spans="1:112" s="6" customFormat="1" x14ac:dyDescent="0.2">
      <c r="A34" s="4" t="s">
        <v>47</v>
      </c>
      <c r="B34" s="5" t="s">
        <v>44</v>
      </c>
      <c r="C34" s="16">
        <v>27.373940186370199</v>
      </c>
      <c r="D34" s="16">
        <v>27.385662146751951</v>
      </c>
      <c r="E34" s="16">
        <v>28.218400390398784</v>
      </c>
      <c r="F34" s="16">
        <v>29.051165044322694</v>
      </c>
      <c r="G34" s="16">
        <v>29.88395610852367</v>
      </c>
      <c r="H34" s="19">
        <v>30.716773583001718</v>
      </c>
      <c r="I34" s="19">
        <v>31.549617467756839</v>
      </c>
      <c r="J34" s="19">
        <v>31.561405453831249</v>
      </c>
      <c r="K34" s="19">
        <v>31.573193439905669</v>
      </c>
      <c r="L34" s="19">
        <v>31.584981425980079</v>
      </c>
      <c r="M34" s="19">
        <v>31.596769412054496</v>
      </c>
      <c r="N34" s="19">
        <v>31.608557398128912</v>
      </c>
      <c r="O34" s="19">
        <v>31.620345384203326</v>
      </c>
      <c r="P34" s="19">
        <v>31.632133370277735</v>
      </c>
      <c r="Q34" s="19">
        <v>31.643921356352145</v>
      </c>
      <c r="R34" s="19">
        <v>31.655709342426562</v>
      </c>
      <c r="S34" s="19">
        <v>31.667497328500975</v>
      </c>
      <c r="T34" s="19">
        <v>31.679285314575392</v>
      </c>
      <c r="U34" s="19">
        <v>31.691073300649808</v>
      </c>
      <c r="V34" s="19">
        <v>31.702861286724218</v>
      </c>
      <c r="W34" s="26">
        <v>31.714649272798638</v>
      </c>
      <c r="X34" s="26">
        <v>31.714649272798638</v>
      </c>
      <c r="Y34" s="26">
        <v>31.714649272798638</v>
      </c>
      <c r="Z34" s="26">
        <v>31.714649272798638</v>
      </c>
      <c r="AA34" s="26">
        <v>31.714649272798638</v>
      </c>
      <c r="AB34" s="19">
        <v>31.714649272798638</v>
      </c>
      <c r="AC34" s="19">
        <v>31.714649272798638</v>
      </c>
      <c r="AD34" s="19">
        <v>31.714649272798638</v>
      </c>
      <c r="AE34" s="19">
        <v>31.714649272798638</v>
      </c>
      <c r="AF34" s="19">
        <v>31.714649272798638</v>
      </c>
      <c r="AG34" s="19">
        <v>31.714649272798638</v>
      </c>
      <c r="AH34" s="19">
        <v>31.714649272798638</v>
      </c>
      <c r="AI34" s="19">
        <v>31.714649272798638</v>
      </c>
      <c r="AJ34" s="19">
        <v>31.714649272798638</v>
      </c>
      <c r="AK34" s="19">
        <v>31.714649272798638</v>
      </c>
      <c r="AL34" s="19">
        <v>31.714649272798638</v>
      </c>
      <c r="AM34" s="19">
        <v>31.714649272798638</v>
      </c>
      <c r="AN34" s="19">
        <v>31.714649272798638</v>
      </c>
      <c r="AO34" s="19">
        <v>31.714649272798638</v>
      </c>
      <c r="AP34" s="19">
        <v>31.714649272798638</v>
      </c>
      <c r="AQ34" s="19">
        <v>31.714649272798638</v>
      </c>
      <c r="AR34" s="19">
        <v>31.714649272798638</v>
      </c>
      <c r="AS34" s="19">
        <v>31.714649272798638</v>
      </c>
      <c r="AT34" s="19">
        <v>31.714649272798638</v>
      </c>
      <c r="AU34" s="19">
        <v>31.714649272798638</v>
      </c>
      <c r="AV34" s="19">
        <v>31.714649272798638</v>
      </c>
      <c r="AW34" s="19">
        <v>31.714649272798638</v>
      </c>
      <c r="AX34" s="19">
        <v>31.714649272798638</v>
      </c>
      <c r="AY34" s="19">
        <v>31.714649272798638</v>
      </c>
      <c r="AZ34" s="19">
        <v>31.714649272798638</v>
      </c>
      <c r="BA34" s="19">
        <v>31.714649272798638</v>
      </c>
      <c r="BB34" s="19">
        <v>31.714649272798638</v>
      </c>
      <c r="BC34" s="19">
        <v>31.714649272798638</v>
      </c>
      <c r="BD34" s="19">
        <v>31.714649272798638</v>
      </c>
      <c r="BE34" s="19">
        <v>31.714649272798638</v>
      </c>
      <c r="BF34" s="19">
        <v>31.714649272798638</v>
      </c>
      <c r="BG34" s="19">
        <v>31.714649272798638</v>
      </c>
      <c r="BH34" s="19">
        <v>31.714649272798638</v>
      </c>
      <c r="BI34" s="19">
        <v>31.714649272798638</v>
      </c>
      <c r="BJ34" s="19">
        <v>31.714649272798638</v>
      </c>
      <c r="BK34" s="19">
        <v>31.714649272798638</v>
      </c>
      <c r="BL34" s="19">
        <v>31.714649272798638</v>
      </c>
      <c r="BM34" s="19">
        <v>31.714649272798638</v>
      </c>
      <c r="BN34" s="19">
        <v>31.714649272798638</v>
      </c>
      <c r="BO34" s="19">
        <v>31.714649272798638</v>
      </c>
      <c r="BP34" s="19">
        <v>31.714649272798638</v>
      </c>
      <c r="BQ34" s="19">
        <v>31.714649272798638</v>
      </c>
      <c r="BR34" s="19">
        <v>31.714649272798638</v>
      </c>
      <c r="BS34" s="19">
        <v>31.714649272798638</v>
      </c>
      <c r="BT34" s="19">
        <v>31.714649272798638</v>
      </c>
      <c r="BU34" s="19">
        <v>31.714649272798638</v>
      </c>
      <c r="BV34" s="19">
        <v>31.714649272798638</v>
      </c>
      <c r="BW34" s="19">
        <v>31.714649272798638</v>
      </c>
      <c r="BX34" s="19">
        <v>31.714649272798638</v>
      </c>
      <c r="BY34" s="19">
        <v>31.714649272798638</v>
      </c>
      <c r="BZ34" s="19">
        <v>31.714649272798638</v>
      </c>
      <c r="CA34" s="19">
        <v>31.714649272798638</v>
      </c>
      <c r="CB34" s="19">
        <v>31.714649272798638</v>
      </c>
      <c r="CC34" s="19">
        <v>31.714649272798638</v>
      </c>
      <c r="CD34" s="19">
        <v>31.714649272798638</v>
      </c>
      <c r="CE34" s="19">
        <v>31.714649272798638</v>
      </c>
      <c r="CF34" s="19">
        <v>31.714649272798638</v>
      </c>
      <c r="CG34" s="19">
        <v>31.714649272798638</v>
      </c>
      <c r="CH34" s="19">
        <v>31.714649272798638</v>
      </c>
      <c r="CI34" s="19">
        <v>31.714649272798638</v>
      </c>
      <c r="CJ34" s="19">
        <v>31.714649272798638</v>
      </c>
      <c r="CK34" s="19">
        <v>31.714649272798638</v>
      </c>
      <c r="CL34" s="19">
        <v>31.714649272798638</v>
      </c>
      <c r="CM34" s="19">
        <v>31.714649272798638</v>
      </c>
      <c r="CN34" s="19">
        <v>31.714649272798638</v>
      </c>
      <c r="CO34" s="19">
        <v>31.714649272798638</v>
      </c>
      <c r="CP34" s="25"/>
      <c r="CQ34" s="25"/>
      <c r="CR34" s="25"/>
      <c r="CS34" s="25"/>
      <c r="CT34" s="25"/>
      <c r="CU34" s="25"/>
      <c r="CV34" s="25"/>
      <c r="CW34" s="25"/>
      <c r="CX34" s="25"/>
      <c r="CY34" s="25"/>
      <c r="CZ34" s="25"/>
      <c r="DA34" s="25"/>
      <c r="DB34" s="25"/>
      <c r="DC34" s="25"/>
      <c r="DD34" s="25"/>
      <c r="DE34" s="25"/>
      <c r="DF34" s="25"/>
      <c r="DG34" s="25"/>
      <c r="DH34" s="25"/>
    </row>
    <row r="35" spans="1:112" s="6" customFormat="1" x14ac:dyDescent="0.2">
      <c r="A35" s="4" t="s">
        <v>48</v>
      </c>
      <c r="B35" s="5" t="s">
        <v>44</v>
      </c>
      <c r="C35" s="16">
        <v>28.708355548467718</v>
      </c>
      <c r="D35" s="16">
        <v>28.708355548467718</v>
      </c>
      <c r="E35" s="16">
        <v>29.639881770406422</v>
      </c>
      <c r="F35" s="16">
        <v>30.57140799234514</v>
      </c>
      <c r="G35" s="16">
        <v>31.502934214283844</v>
      </c>
      <c r="H35" s="19">
        <v>32.434460436222558</v>
      </c>
      <c r="I35" s="19">
        <v>33.365986658161269</v>
      </c>
      <c r="J35" s="19">
        <v>33.365986658161269</v>
      </c>
      <c r="K35" s="19">
        <v>33.365986658161269</v>
      </c>
      <c r="L35" s="19">
        <v>33.365986658161269</v>
      </c>
      <c r="M35" s="19">
        <v>33.365986658161269</v>
      </c>
      <c r="N35" s="19">
        <v>33.365986658161269</v>
      </c>
      <c r="O35" s="19">
        <v>33.365986658161269</v>
      </c>
      <c r="P35" s="19">
        <v>33.365986658161269</v>
      </c>
      <c r="Q35" s="19">
        <v>33.365986658161269</v>
      </c>
      <c r="R35" s="19">
        <v>33.365986658161269</v>
      </c>
      <c r="S35" s="19">
        <v>33.365986658161269</v>
      </c>
      <c r="T35" s="19">
        <v>33.365986658161269</v>
      </c>
      <c r="U35" s="19">
        <v>33.365986658161269</v>
      </c>
      <c r="V35" s="19">
        <v>33.365986658161269</v>
      </c>
      <c r="W35" s="26">
        <v>33.365986658161269</v>
      </c>
      <c r="X35" s="26">
        <v>33.365986658161269</v>
      </c>
      <c r="Y35" s="26">
        <v>33.365986658161269</v>
      </c>
      <c r="Z35" s="26">
        <v>33.365986658161269</v>
      </c>
      <c r="AA35" s="26">
        <v>33.365986658161269</v>
      </c>
      <c r="AB35" s="19">
        <v>33.365986658161269</v>
      </c>
      <c r="AC35" s="19">
        <v>33.365986658161269</v>
      </c>
      <c r="AD35" s="19">
        <v>33.365986658161269</v>
      </c>
      <c r="AE35" s="19">
        <v>33.365986658161269</v>
      </c>
      <c r="AF35" s="19">
        <v>33.365986658161269</v>
      </c>
      <c r="AG35" s="19">
        <v>33.365986658161269</v>
      </c>
      <c r="AH35" s="19">
        <v>33.365986658161269</v>
      </c>
      <c r="AI35" s="19">
        <v>33.365986658161269</v>
      </c>
      <c r="AJ35" s="19">
        <v>33.365986658161269</v>
      </c>
      <c r="AK35" s="19">
        <v>33.365986658161269</v>
      </c>
      <c r="AL35" s="19">
        <v>33.365986658161269</v>
      </c>
      <c r="AM35" s="19">
        <v>33.365986658161269</v>
      </c>
      <c r="AN35" s="19">
        <v>33.365986658161269</v>
      </c>
      <c r="AO35" s="19">
        <v>33.365986658161269</v>
      </c>
      <c r="AP35" s="19">
        <v>33.365986658161269</v>
      </c>
      <c r="AQ35" s="19">
        <v>33.365986658161269</v>
      </c>
      <c r="AR35" s="19">
        <v>33.365986658161269</v>
      </c>
      <c r="AS35" s="19">
        <v>33.365986658161269</v>
      </c>
      <c r="AT35" s="19">
        <v>33.365986658161269</v>
      </c>
      <c r="AU35" s="19">
        <v>33.365986658161269</v>
      </c>
      <c r="AV35" s="19">
        <v>33.365986658161269</v>
      </c>
      <c r="AW35" s="19">
        <v>33.365986658161269</v>
      </c>
      <c r="AX35" s="19">
        <v>33.365986658161269</v>
      </c>
      <c r="AY35" s="19">
        <v>33.365986658161269</v>
      </c>
      <c r="AZ35" s="19">
        <v>33.365986658161269</v>
      </c>
      <c r="BA35" s="19">
        <v>33.365986658161269</v>
      </c>
      <c r="BB35" s="19">
        <v>33.365986658161269</v>
      </c>
      <c r="BC35" s="19">
        <v>33.365986658161269</v>
      </c>
      <c r="BD35" s="19">
        <v>33.365986658161269</v>
      </c>
      <c r="BE35" s="19">
        <v>33.365986658161269</v>
      </c>
      <c r="BF35" s="19">
        <v>33.365986658161269</v>
      </c>
      <c r="BG35" s="19">
        <v>33.365986658161269</v>
      </c>
      <c r="BH35" s="19">
        <v>33.365986658161269</v>
      </c>
      <c r="BI35" s="19">
        <v>33.365986658161269</v>
      </c>
      <c r="BJ35" s="19">
        <v>33.365986658161269</v>
      </c>
      <c r="BK35" s="19">
        <v>33.365986658161269</v>
      </c>
      <c r="BL35" s="19">
        <v>33.365986658161269</v>
      </c>
      <c r="BM35" s="19">
        <v>33.365986658161269</v>
      </c>
      <c r="BN35" s="19">
        <v>33.365986658161269</v>
      </c>
      <c r="BO35" s="19">
        <v>33.365986658161269</v>
      </c>
      <c r="BP35" s="19">
        <v>33.365986658161269</v>
      </c>
      <c r="BQ35" s="19">
        <v>33.365986658161269</v>
      </c>
      <c r="BR35" s="19">
        <v>33.365986658161269</v>
      </c>
      <c r="BS35" s="19">
        <v>33.365986658161269</v>
      </c>
      <c r="BT35" s="19">
        <v>33.365986658161269</v>
      </c>
      <c r="BU35" s="19">
        <v>33.365986658161269</v>
      </c>
      <c r="BV35" s="19">
        <v>33.365986658161269</v>
      </c>
      <c r="BW35" s="19">
        <v>33.365986658161269</v>
      </c>
      <c r="BX35" s="19">
        <v>33.365986658161269</v>
      </c>
      <c r="BY35" s="19">
        <v>33.365986658161269</v>
      </c>
      <c r="BZ35" s="19">
        <v>33.365986658161269</v>
      </c>
      <c r="CA35" s="19">
        <v>33.365986658161269</v>
      </c>
      <c r="CB35" s="19">
        <v>33.365986658161269</v>
      </c>
      <c r="CC35" s="19">
        <v>33.365986658161269</v>
      </c>
      <c r="CD35" s="19">
        <v>33.365986658161269</v>
      </c>
      <c r="CE35" s="19">
        <v>33.365986658161269</v>
      </c>
      <c r="CF35" s="19">
        <v>33.365986658161269</v>
      </c>
      <c r="CG35" s="19">
        <v>33.365986658161269</v>
      </c>
      <c r="CH35" s="19">
        <v>33.365986658161269</v>
      </c>
      <c r="CI35" s="19">
        <v>33.365986658161269</v>
      </c>
      <c r="CJ35" s="19">
        <v>33.365986658161269</v>
      </c>
      <c r="CK35" s="19">
        <v>33.365986658161269</v>
      </c>
      <c r="CL35" s="19">
        <v>33.365986658161269</v>
      </c>
      <c r="CM35" s="19">
        <v>33.365986658161269</v>
      </c>
      <c r="CN35" s="19">
        <v>33.365986658161269</v>
      </c>
      <c r="CO35" s="19">
        <v>33.365986658161269</v>
      </c>
      <c r="CP35" s="25"/>
      <c r="CQ35" s="25"/>
      <c r="CR35" s="25"/>
      <c r="CS35" s="25"/>
      <c r="CT35" s="25"/>
      <c r="CU35" s="25"/>
      <c r="CV35" s="25"/>
      <c r="CW35" s="25"/>
      <c r="CX35" s="25"/>
      <c r="CY35" s="25"/>
      <c r="CZ35" s="25"/>
      <c r="DA35" s="25"/>
      <c r="DB35" s="25"/>
      <c r="DC35" s="25"/>
      <c r="DD35" s="25"/>
      <c r="DE35" s="25"/>
      <c r="DF35" s="25"/>
      <c r="DG35" s="25"/>
      <c r="DH35" s="25"/>
    </row>
    <row r="36" spans="1:112" x14ac:dyDescent="0.2">
      <c r="C36" s="19"/>
      <c r="D36" s="19"/>
      <c r="E36" s="19"/>
      <c r="F36" s="19"/>
      <c r="G36" s="19"/>
      <c r="H36" s="19"/>
      <c r="I36" s="19"/>
      <c r="J36" s="19"/>
      <c r="K36" s="19"/>
      <c r="L36" s="19"/>
      <c r="M36" s="19"/>
      <c r="N36" s="19"/>
      <c r="O36" s="19"/>
      <c r="P36" s="19"/>
      <c r="Q36" s="19"/>
      <c r="R36" s="19"/>
      <c r="S36" s="19"/>
      <c r="T36" s="19"/>
      <c r="U36" s="19"/>
      <c r="V36" s="19"/>
      <c r="W36" s="26"/>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row>
    <row r="37" spans="1:112" x14ac:dyDescent="0.2">
      <c r="A37" s="18" t="s">
        <v>49</v>
      </c>
      <c r="B37" s="5" t="s">
        <v>44</v>
      </c>
      <c r="C37" s="16">
        <v>23.959126657018732</v>
      </c>
      <c r="D37" s="16">
        <v>23.959126657018732</v>
      </c>
      <c r="E37" s="16">
        <v>24.981320142990175</v>
      </c>
      <c r="F37" s="16">
        <v>26.003513628961617</v>
      </c>
      <c r="G37" s="16">
        <v>27.025707114933056</v>
      </c>
      <c r="H37" s="16">
        <v>28.047900600904491</v>
      </c>
      <c r="I37" s="19">
        <v>29.07009408687593</v>
      </c>
      <c r="J37" s="19">
        <v>29.07009408687593</v>
      </c>
      <c r="K37" s="19">
        <v>29.07009408687593</v>
      </c>
      <c r="L37" s="19">
        <v>29.07009408687593</v>
      </c>
      <c r="M37" s="19">
        <v>29.07009408687593</v>
      </c>
      <c r="N37" s="19">
        <v>29.07009408687593</v>
      </c>
      <c r="O37" s="19">
        <v>29.07009408687593</v>
      </c>
      <c r="P37" s="19">
        <v>29.07009408687593</v>
      </c>
      <c r="Q37" s="19">
        <v>29.07009408687593</v>
      </c>
      <c r="R37" s="19">
        <v>29.07009408687593</v>
      </c>
      <c r="S37" s="19">
        <v>29.07009408687593</v>
      </c>
      <c r="T37" s="19">
        <v>29.07009408687593</v>
      </c>
      <c r="U37" s="19">
        <v>29.07009408687593</v>
      </c>
      <c r="V37" s="19">
        <v>29.07009408687593</v>
      </c>
      <c r="W37" s="26">
        <v>29.07009408687593</v>
      </c>
      <c r="X37" s="19">
        <v>29.07009408687593</v>
      </c>
      <c r="Y37" s="19">
        <v>29.07009408687593</v>
      </c>
      <c r="Z37" s="19">
        <v>29.07009408687593</v>
      </c>
      <c r="AA37" s="19">
        <v>29.07009408687593</v>
      </c>
      <c r="AB37" s="19">
        <v>29.07009408687593</v>
      </c>
      <c r="AC37" s="19">
        <v>29.07009408687593</v>
      </c>
      <c r="AD37" s="19">
        <v>29.07009408687593</v>
      </c>
      <c r="AE37" s="19">
        <v>29.07009408687593</v>
      </c>
      <c r="AF37" s="19">
        <v>29.07009408687593</v>
      </c>
      <c r="AG37" s="19">
        <v>29.07009408687593</v>
      </c>
      <c r="AH37" s="19">
        <v>29.07009408687593</v>
      </c>
      <c r="AI37" s="19">
        <v>29.07009408687593</v>
      </c>
      <c r="AJ37" s="19">
        <v>29.07009408687593</v>
      </c>
      <c r="AK37" s="19">
        <v>29.07009408687593</v>
      </c>
      <c r="AL37" s="19">
        <v>29.07009408687593</v>
      </c>
      <c r="AM37" s="19">
        <v>29.07009408687593</v>
      </c>
      <c r="AN37" s="19">
        <v>29.07009408687593</v>
      </c>
      <c r="AO37" s="19">
        <v>29.07009408687593</v>
      </c>
      <c r="AP37" s="19">
        <v>29.07009408687593</v>
      </c>
      <c r="AQ37" s="19">
        <v>29.07009408687593</v>
      </c>
      <c r="AR37" s="19">
        <v>29.07009408687593</v>
      </c>
      <c r="AS37" s="19">
        <v>29.07009408687593</v>
      </c>
      <c r="AT37" s="19">
        <v>29.07009408687593</v>
      </c>
      <c r="AU37" s="19">
        <v>29.07009408687593</v>
      </c>
      <c r="AV37" s="19">
        <v>29.07009408687593</v>
      </c>
      <c r="AW37" s="19">
        <v>29.07009408687593</v>
      </c>
      <c r="AX37" s="19">
        <v>29.07009408687593</v>
      </c>
      <c r="AY37" s="19">
        <v>29.07009408687593</v>
      </c>
      <c r="AZ37" s="19">
        <v>29.07009408687593</v>
      </c>
      <c r="BA37" s="19">
        <v>29.07009408687593</v>
      </c>
      <c r="BB37" s="21">
        <v>29.07009408687593</v>
      </c>
      <c r="BC37" s="21">
        <v>29.07009408687593</v>
      </c>
      <c r="BD37" s="21">
        <v>29.07009408687593</v>
      </c>
      <c r="BE37" s="21">
        <v>29.07009408687593</v>
      </c>
      <c r="BF37" s="21">
        <v>29.07009408687593</v>
      </c>
      <c r="BG37" s="21">
        <v>29.07009408687593</v>
      </c>
      <c r="BH37" s="21">
        <v>29.07009408687593</v>
      </c>
      <c r="BI37" s="21">
        <v>29.07009408687593</v>
      </c>
      <c r="BJ37" s="21">
        <v>29.07009408687593</v>
      </c>
      <c r="BK37" s="21">
        <v>29.07009408687593</v>
      </c>
      <c r="BL37" s="21">
        <v>29.07009408687593</v>
      </c>
      <c r="BM37" s="21">
        <v>29.07009408687593</v>
      </c>
      <c r="BN37" s="21">
        <v>29.07009408687593</v>
      </c>
      <c r="BO37" s="21">
        <v>29.07009408687593</v>
      </c>
      <c r="BP37" s="21">
        <v>29.07009408687593</v>
      </c>
      <c r="BQ37" s="21">
        <v>29.07009408687593</v>
      </c>
      <c r="BR37" s="21">
        <v>29.07009408687593</v>
      </c>
      <c r="BS37" s="21">
        <v>29.07009408687593</v>
      </c>
      <c r="BT37" s="21">
        <v>29.07009408687593</v>
      </c>
      <c r="BU37" s="21">
        <v>29.07009408687593</v>
      </c>
      <c r="BV37" s="21">
        <v>29.07009408687593</v>
      </c>
      <c r="BW37" s="21">
        <v>29.07009408687593</v>
      </c>
      <c r="BX37" s="21">
        <v>29.07009408687593</v>
      </c>
      <c r="BY37" s="21">
        <v>29.07009408687593</v>
      </c>
      <c r="BZ37" s="21">
        <v>29.07009408687593</v>
      </c>
      <c r="CA37" s="21">
        <v>29.07009408687593</v>
      </c>
      <c r="CB37" s="21">
        <v>29.07009408687593</v>
      </c>
      <c r="CC37" s="21">
        <v>29.07009408687593</v>
      </c>
      <c r="CD37" s="21">
        <v>29.07009408687593</v>
      </c>
      <c r="CE37" s="21">
        <v>29.07009408687593</v>
      </c>
      <c r="CF37" s="21">
        <v>29.07009408687593</v>
      </c>
      <c r="CG37" s="21">
        <v>29.07009408687593</v>
      </c>
      <c r="CH37" s="21">
        <v>29.07009408687593</v>
      </c>
      <c r="CI37" s="21">
        <v>29.07009408687593</v>
      </c>
      <c r="CJ37" s="21">
        <v>29.07009408687593</v>
      </c>
      <c r="CK37" s="21">
        <v>29.07009408687593</v>
      </c>
      <c r="CL37" s="21">
        <v>29.07009408687593</v>
      </c>
      <c r="CM37" s="21">
        <v>29.07009408687593</v>
      </c>
      <c r="CN37" s="21">
        <v>29.07009408687593</v>
      </c>
      <c r="CO37" s="21">
        <v>29.07009408687593</v>
      </c>
      <c r="CP37" s="21"/>
      <c r="CQ37" s="21"/>
      <c r="CR37" s="21"/>
      <c r="CS37" s="21"/>
      <c r="CT37" s="21"/>
      <c r="CU37" s="21"/>
      <c r="CV37" s="21"/>
      <c r="CW37" s="21"/>
      <c r="CX37" s="21"/>
      <c r="CY37" s="21"/>
      <c r="CZ37" s="21"/>
      <c r="DA37" s="21"/>
      <c r="DB37" s="21"/>
      <c r="DC37" s="21"/>
      <c r="DD37" s="21"/>
      <c r="DE37" s="21"/>
      <c r="DF37" s="21"/>
      <c r="DG37" s="21"/>
      <c r="DH37" s="21"/>
    </row>
    <row r="38" spans="1:112" s="6" customFormat="1" x14ac:dyDescent="0.2">
      <c r="A38" s="18" t="s">
        <v>50</v>
      </c>
      <c r="B38" s="5" t="s">
        <v>44</v>
      </c>
      <c r="C38" s="16">
        <v>23.259126657018733</v>
      </c>
      <c r="D38" s="16">
        <v>23.259126657018733</v>
      </c>
      <c r="E38" s="16">
        <v>24.281320142990175</v>
      </c>
      <c r="F38" s="16">
        <v>25.303513628961618</v>
      </c>
      <c r="G38" s="16">
        <v>26.325707114933056</v>
      </c>
      <c r="H38" s="16">
        <v>27.347900600904492</v>
      </c>
      <c r="I38" s="19">
        <v>28.37009408687593</v>
      </c>
      <c r="J38" s="19">
        <v>28.37009408687593</v>
      </c>
      <c r="K38" s="19">
        <v>28.37009408687593</v>
      </c>
      <c r="L38" s="19">
        <v>28.37009408687593</v>
      </c>
      <c r="M38" s="19">
        <v>28.37009408687593</v>
      </c>
      <c r="N38" s="19">
        <v>28.37009408687593</v>
      </c>
      <c r="O38" s="19">
        <v>28.37009408687593</v>
      </c>
      <c r="P38" s="19">
        <v>28.37009408687593</v>
      </c>
      <c r="Q38" s="19">
        <v>28.37009408687593</v>
      </c>
      <c r="R38" s="19">
        <v>28.37009408687593</v>
      </c>
      <c r="S38" s="19">
        <v>28.37009408687593</v>
      </c>
      <c r="T38" s="19">
        <v>28.37009408687593</v>
      </c>
      <c r="U38" s="19">
        <v>28.37009408687593</v>
      </c>
      <c r="V38" s="19">
        <v>28.37009408687593</v>
      </c>
      <c r="W38" s="26">
        <v>28.37009408687593</v>
      </c>
      <c r="X38" s="19">
        <v>28.37009408687593</v>
      </c>
      <c r="Y38" s="19">
        <v>28.37009408687593</v>
      </c>
      <c r="Z38" s="19">
        <v>28.37009408687593</v>
      </c>
      <c r="AA38" s="19">
        <v>28.37009408687593</v>
      </c>
      <c r="AB38" s="19">
        <v>28.37009408687593</v>
      </c>
      <c r="AC38" s="19">
        <v>28.37009408687593</v>
      </c>
      <c r="AD38" s="19">
        <v>28.37009408687593</v>
      </c>
      <c r="AE38" s="19">
        <v>28.37009408687593</v>
      </c>
      <c r="AF38" s="19">
        <v>28.37009408687593</v>
      </c>
      <c r="AG38" s="19">
        <v>28.37009408687593</v>
      </c>
      <c r="AH38" s="19">
        <v>28.37009408687593</v>
      </c>
      <c r="AI38" s="19">
        <v>28.37009408687593</v>
      </c>
      <c r="AJ38" s="19">
        <v>28.37009408687593</v>
      </c>
      <c r="AK38" s="19">
        <v>28.37009408687593</v>
      </c>
      <c r="AL38" s="19">
        <v>28.37009408687593</v>
      </c>
      <c r="AM38" s="19">
        <v>28.37009408687593</v>
      </c>
      <c r="AN38" s="19">
        <v>28.37009408687593</v>
      </c>
      <c r="AO38" s="19">
        <v>28.37009408687593</v>
      </c>
      <c r="AP38" s="19">
        <v>28.37009408687593</v>
      </c>
      <c r="AQ38" s="19">
        <v>28.37009408687593</v>
      </c>
      <c r="AR38" s="19">
        <v>28.37009408687593</v>
      </c>
      <c r="AS38" s="19">
        <v>28.37009408687593</v>
      </c>
      <c r="AT38" s="19">
        <v>28.37009408687593</v>
      </c>
      <c r="AU38" s="19">
        <v>28.37009408687593</v>
      </c>
      <c r="AV38" s="19">
        <v>28.37009408687593</v>
      </c>
      <c r="AW38" s="19">
        <v>28.37009408687593</v>
      </c>
      <c r="AX38" s="19">
        <v>28.37009408687593</v>
      </c>
      <c r="AY38" s="19">
        <v>28.37009408687593</v>
      </c>
      <c r="AZ38" s="19">
        <v>28.37009408687593</v>
      </c>
      <c r="BA38" s="19">
        <v>28.37009408687593</v>
      </c>
      <c r="BB38" s="25">
        <v>28.37009408687593</v>
      </c>
      <c r="BC38" s="25">
        <v>28.37009408687593</v>
      </c>
      <c r="BD38" s="25">
        <v>28.37009408687593</v>
      </c>
      <c r="BE38" s="25">
        <v>28.37009408687593</v>
      </c>
      <c r="BF38" s="25">
        <v>28.37009408687593</v>
      </c>
      <c r="BG38" s="25">
        <v>28.37009408687593</v>
      </c>
      <c r="BH38" s="25">
        <v>28.37009408687593</v>
      </c>
      <c r="BI38" s="25">
        <v>28.37009408687593</v>
      </c>
      <c r="BJ38" s="25">
        <v>28.37009408687593</v>
      </c>
      <c r="BK38" s="25">
        <v>28.37009408687593</v>
      </c>
      <c r="BL38" s="25">
        <v>28.37009408687593</v>
      </c>
      <c r="BM38" s="25">
        <v>28.37009408687593</v>
      </c>
      <c r="BN38" s="25">
        <v>28.37009408687593</v>
      </c>
      <c r="BO38" s="25">
        <v>28.37009408687593</v>
      </c>
      <c r="BP38" s="25">
        <v>28.37009408687593</v>
      </c>
      <c r="BQ38" s="25">
        <v>28.37009408687593</v>
      </c>
      <c r="BR38" s="25">
        <v>28.37009408687593</v>
      </c>
      <c r="BS38" s="25">
        <v>28.37009408687593</v>
      </c>
      <c r="BT38" s="25">
        <v>28.37009408687593</v>
      </c>
      <c r="BU38" s="25">
        <v>28.37009408687593</v>
      </c>
      <c r="BV38" s="25">
        <v>28.37009408687593</v>
      </c>
      <c r="BW38" s="25">
        <v>28.37009408687593</v>
      </c>
      <c r="BX38" s="25">
        <v>28.37009408687593</v>
      </c>
      <c r="BY38" s="25">
        <v>28.37009408687593</v>
      </c>
      <c r="BZ38" s="25">
        <v>28.37009408687593</v>
      </c>
      <c r="CA38" s="25">
        <v>28.37009408687593</v>
      </c>
      <c r="CB38" s="25">
        <v>28.37009408687593</v>
      </c>
      <c r="CC38" s="25">
        <v>28.37009408687593</v>
      </c>
      <c r="CD38" s="25">
        <v>28.37009408687593</v>
      </c>
      <c r="CE38" s="25">
        <v>28.37009408687593</v>
      </c>
      <c r="CF38" s="25">
        <v>28.37009408687593</v>
      </c>
      <c r="CG38" s="25">
        <v>28.37009408687593</v>
      </c>
      <c r="CH38" s="25">
        <v>28.37009408687593</v>
      </c>
      <c r="CI38" s="25">
        <v>28.37009408687593</v>
      </c>
      <c r="CJ38" s="25">
        <v>28.37009408687593</v>
      </c>
      <c r="CK38" s="25">
        <v>28.37009408687593</v>
      </c>
      <c r="CL38" s="25">
        <v>28.37009408687593</v>
      </c>
      <c r="CM38" s="25">
        <v>28.37009408687593</v>
      </c>
      <c r="CN38" s="25">
        <v>28.37009408687593</v>
      </c>
      <c r="CO38" s="25">
        <v>28.37009408687593</v>
      </c>
      <c r="CP38" s="25"/>
      <c r="CQ38" s="25"/>
      <c r="CR38" s="25"/>
      <c r="CS38" s="25"/>
      <c r="CT38" s="25"/>
      <c r="CU38" s="25"/>
      <c r="CV38" s="25"/>
      <c r="CW38" s="25"/>
      <c r="CX38" s="25"/>
      <c r="CY38" s="25"/>
      <c r="CZ38" s="25"/>
      <c r="DA38" s="25"/>
      <c r="DB38" s="25"/>
      <c r="DC38" s="25"/>
      <c r="DD38" s="25"/>
      <c r="DE38" s="25"/>
      <c r="DF38" s="25"/>
      <c r="DG38" s="25"/>
      <c r="DH38" s="25"/>
    </row>
    <row r="39" spans="1:112" x14ac:dyDescent="0.2">
      <c r="A39" s="27"/>
      <c r="C39" s="28"/>
      <c r="D39" s="28"/>
      <c r="E39" s="28"/>
      <c r="F39" s="28"/>
      <c r="G39" s="28"/>
      <c r="H39" s="28"/>
      <c r="I39" s="28"/>
      <c r="J39" s="28"/>
      <c r="K39" s="28"/>
      <c r="L39" s="28"/>
      <c r="M39" s="28"/>
      <c r="N39" s="28"/>
      <c r="O39" s="28"/>
      <c r="P39" s="28"/>
      <c r="Q39" s="28"/>
      <c r="R39" s="28"/>
      <c r="S39" s="28"/>
      <c r="T39" s="28"/>
      <c r="U39" s="28"/>
      <c r="V39" s="28"/>
      <c r="W39" s="38"/>
      <c r="X39" s="28"/>
      <c r="Y39" s="28"/>
      <c r="Z39" s="28"/>
      <c r="AA39" s="28"/>
      <c r="AB39" s="28"/>
      <c r="AC39" s="28"/>
      <c r="AD39" s="28"/>
      <c r="AE39" s="28"/>
      <c r="AF39" s="28"/>
      <c r="AG39" s="28"/>
      <c r="AH39" s="28"/>
      <c r="AI39" s="28"/>
      <c r="AJ39" s="28"/>
      <c r="AK39" s="28"/>
      <c r="AL39" s="28"/>
      <c r="AM39" s="28"/>
      <c r="AN39" s="28"/>
      <c r="AO39" s="28"/>
      <c r="AP39" s="28"/>
      <c r="AQ39" s="28"/>
      <c r="AR39" s="28"/>
      <c r="AS39" s="28"/>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row>
    <row r="40" spans="1:112" x14ac:dyDescent="0.2">
      <c r="A40" s="27"/>
      <c r="C40" s="21"/>
      <c r="D40" s="21"/>
      <c r="E40" s="21"/>
      <c r="F40" s="21"/>
      <c r="G40" s="21"/>
      <c r="H40" s="21"/>
      <c r="I40" s="21"/>
      <c r="J40" s="21"/>
      <c r="K40" s="21"/>
      <c r="L40" s="21"/>
      <c r="M40" s="21"/>
      <c r="N40" s="21"/>
      <c r="O40" s="21"/>
      <c r="P40" s="21"/>
      <c r="Q40" s="21"/>
      <c r="R40" s="21"/>
      <c r="S40" s="21"/>
      <c r="T40" s="21"/>
      <c r="U40" s="21"/>
      <c r="V40" s="21"/>
      <c r="W40" s="25"/>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row>
    <row r="41" spans="1:112" x14ac:dyDescent="0.2">
      <c r="C41" s="21"/>
      <c r="D41" s="21"/>
      <c r="E41" s="21"/>
      <c r="F41" s="21"/>
      <c r="G41" s="21"/>
      <c r="H41" s="21"/>
      <c r="I41" s="21"/>
      <c r="J41" s="21"/>
      <c r="K41" s="21"/>
      <c r="L41" s="21"/>
      <c r="M41" s="21"/>
      <c r="N41" s="21"/>
      <c r="O41" s="21"/>
      <c r="P41" s="21"/>
      <c r="Q41" s="21"/>
      <c r="R41" s="21"/>
      <c r="S41" s="21"/>
      <c r="T41" s="21"/>
      <c r="U41" s="21"/>
      <c r="V41" s="21"/>
      <c r="W41" s="25"/>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row>
    <row r="42" spans="1:112" x14ac:dyDescent="0.2">
      <c r="C42" s="21"/>
      <c r="D42" s="21"/>
      <c r="E42" s="21"/>
      <c r="F42" s="21"/>
      <c r="G42" s="21"/>
      <c r="H42" s="21"/>
      <c r="I42" s="21"/>
      <c r="J42" s="21"/>
      <c r="K42" s="21"/>
      <c r="L42" s="21"/>
      <c r="M42" s="21"/>
      <c r="N42" s="21"/>
      <c r="O42" s="21"/>
      <c r="P42" s="21"/>
      <c r="Q42" s="21"/>
      <c r="R42" s="21"/>
      <c r="S42" s="21"/>
      <c r="T42" s="21"/>
      <c r="U42" s="21"/>
      <c r="V42" s="21"/>
      <c r="W42" s="25"/>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row>
    <row r="43" spans="1:112" x14ac:dyDescent="0.2">
      <c r="C43" s="21"/>
      <c r="D43" s="21"/>
      <c r="E43" s="21"/>
      <c r="F43" s="21"/>
      <c r="G43" s="21"/>
      <c r="H43" s="21"/>
      <c r="I43" s="21"/>
      <c r="J43" s="21"/>
      <c r="K43" s="21"/>
      <c r="L43" s="21"/>
      <c r="M43" s="21"/>
      <c r="N43" s="21"/>
      <c r="O43" s="21"/>
      <c r="P43" s="21"/>
      <c r="Q43" s="21"/>
      <c r="R43" s="21"/>
      <c r="S43" s="21"/>
      <c r="T43" s="21"/>
      <c r="U43" s="21"/>
      <c r="V43" s="21"/>
      <c r="W43" s="25"/>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row>
    <row r="44" spans="1:112" x14ac:dyDescent="0.2">
      <c r="C44" s="21"/>
      <c r="D44" s="21"/>
      <c r="E44" s="21"/>
      <c r="F44" s="21"/>
      <c r="G44" s="21"/>
      <c r="H44" s="21"/>
      <c r="I44" s="21"/>
      <c r="J44" s="21"/>
      <c r="K44" s="21"/>
      <c r="L44" s="21"/>
      <c r="M44" s="21"/>
      <c r="N44" s="21"/>
      <c r="O44" s="21"/>
      <c r="P44" s="21"/>
      <c r="Q44" s="21"/>
      <c r="R44" s="21"/>
      <c r="S44" s="21"/>
      <c r="T44" s="21"/>
      <c r="U44" s="21"/>
      <c r="V44" s="21"/>
      <c r="W44" s="25"/>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row>
    <row r="45" spans="1:112" x14ac:dyDescent="0.2">
      <c r="C45" s="21"/>
      <c r="D45" s="21"/>
      <c r="E45" s="21"/>
      <c r="F45" s="21"/>
      <c r="G45" s="21"/>
      <c r="H45" s="21"/>
      <c r="I45" s="21"/>
      <c r="J45" s="21"/>
      <c r="K45" s="21"/>
      <c r="L45" s="21"/>
      <c r="M45" s="21"/>
      <c r="N45" s="21"/>
      <c r="O45" s="21"/>
      <c r="P45" s="21"/>
      <c r="Q45" s="21"/>
      <c r="R45" s="21"/>
      <c r="S45" s="21"/>
      <c r="T45" s="21"/>
      <c r="U45" s="21"/>
      <c r="V45" s="21"/>
      <c r="W45" s="25"/>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row>
    <row r="46" spans="1:112" x14ac:dyDescent="0.2">
      <c r="C46" s="21"/>
      <c r="D46" s="21"/>
      <c r="E46" s="21"/>
      <c r="F46" s="21"/>
      <c r="G46" s="21"/>
      <c r="H46" s="21"/>
      <c r="I46" s="21"/>
      <c r="J46" s="21"/>
      <c r="K46" s="21"/>
      <c r="L46" s="21"/>
      <c r="M46" s="21"/>
      <c r="N46" s="21"/>
      <c r="O46" s="21"/>
      <c r="P46" s="21"/>
      <c r="Q46" s="21"/>
      <c r="R46" s="21"/>
      <c r="S46" s="21"/>
      <c r="T46" s="21"/>
      <c r="U46" s="21"/>
      <c r="V46" s="21"/>
      <c r="W46" s="25"/>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row>
    <row r="47" spans="1:112" x14ac:dyDescent="0.2">
      <c r="C47" s="21"/>
      <c r="D47" s="21"/>
      <c r="E47" s="21"/>
      <c r="F47" s="21"/>
      <c r="G47" s="21"/>
      <c r="H47" s="21"/>
      <c r="I47" s="21"/>
      <c r="J47" s="21"/>
      <c r="K47" s="21"/>
      <c r="L47" s="21"/>
      <c r="M47" s="21"/>
      <c r="N47" s="21"/>
      <c r="O47" s="21"/>
      <c r="P47" s="21"/>
      <c r="Q47" s="21"/>
      <c r="R47" s="21"/>
      <c r="S47" s="21"/>
      <c r="T47" s="21"/>
      <c r="U47" s="21"/>
      <c r="V47" s="21"/>
      <c r="W47" s="25"/>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row>
    <row r="48" spans="1:112" x14ac:dyDescent="0.2">
      <c r="C48" s="21"/>
      <c r="D48" s="21"/>
      <c r="E48" s="21"/>
      <c r="F48" s="21"/>
      <c r="G48" s="21"/>
      <c r="H48" s="21"/>
      <c r="I48" s="21"/>
      <c r="J48" s="21"/>
      <c r="K48" s="21"/>
      <c r="L48" s="21"/>
      <c r="M48" s="21"/>
      <c r="N48" s="21"/>
      <c r="O48" s="21"/>
      <c r="P48" s="21"/>
      <c r="Q48" s="21"/>
      <c r="R48" s="21"/>
      <c r="S48" s="21"/>
      <c r="T48" s="21"/>
      <c r="U48" s="21"/>
      <c r="V48" s="21"/>
      <c r="W48" s="25"/>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row>
    <row r="49" spans="3:112" x14ac:dyDescent="0.2">
      <c r="C49" s="21"/>
      <c r="D49" s="21"/>
      <c r="E49" s="21"/>
      <c r="F49" s="21"/>
      <c r="G49" s="21"/>
      <c r="H49" s="21"/>
      <c r="I49" s="21"/>
      <c r="J49" s="21"/>
      <c r="K49" s="21"/>
      <c r="L49" s="21"/>
      <c r="M49" s="21"/>
      <c r="N49" s="21"/>
      <c r="O49" s="21"/>
      <c r="P49" s="21"/>
      <c r="Q49" s="21"/>
      <c r="R49" s="21"/>
      <c r="S49" s="21"/>
      <c r="T49" s="21"/>
      <c r="U49" s="21"/>
      <c r="V49" s="21"/>
      <c r="W49" s="25"/>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row>
    <row r="50" spans="3:112" x14ac:dyDescent="0.2">
      <c r="C50" s="21"/>
      <c r="D50" s="21"/>
      <c r="E50" s="21"/>
      <c r="F50" s="21"/>
      <c r="G50" s="21"/>
      <c r="H50" s="21"/>
      <c r="I50" s="21"/>
      <c r="J50" s="21"/>
      <c r="K50" s="21"/>
      <c r="L50" s="21"/>
      <c r="M50" s="21"/>
      <c r="N50" s="21"/>
      <c r="O50" s="21"/>
      <c r="P50" s="21"/>
      <c r="Q50" s="21"/>
      <c r="R50" s="21"/>
      <c r="S50" s="21"/>
      <c r="T50" s="21"/>
      <c r="U50" s="21"/>
      <c r="V50" s="21"/>
      <c r="W50" s="25"/>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row>
    <row r="51" spans="3:112" x14ac:dyDescent="0.2">
      <c r="C51" s="21"/>
      <c r="D51" s="21"/>
      <c r="E51" s="21"/>
      <c r="F51" s="21"/>
      <c r="G51" s="21"/>
      <c r="H51" s="21"/>
      <c r="I51" s="21"/>
      <c r="J51" s="21"/>
      <c r="K51" s="21"/>
      <c r="L51" s="21"/>
      <c r="M51" s="21"/>
      <c r="N51" s="21"/>
      <c r="O51" s="21"/>
      <c r="P51" s="21"/>
      <c r="Q51" s="21"/>
      <c r="R51" s="21"/>
      <c r="S51" s="21"/>
      <c r="T51" s="21"/>
      <c r="U51" s="21"/>
      <c r="V51" s="21"/>
      <c r="W51" s="25"/>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row>
    <row r="52" spans="3:112" x14ac:dyDescent="0.2">
      <c r="C52" s="21"/>
      <c r="D52" s="21"/>
      <c r="E52" s="21"/>
      <c r="F52" s="21"/>
      <c r="G52" s="21"/>
      <c r="H52" s="21"/>
      <c r="I52" s="21"/>
      <c r="J52" s="21"/>
      <c r="K52" s="21"/>
      <c r="L52" s="21"/>
      <c r="M52" s="21"/>
      <c r="N52" s="21"/>
      <c r="O52" s="21"/>
      <c r="P52" s="21"/>
      <c r="Q52" s="21"/>
      <c r="R52" s="21"/>
      <c r="S52" s="21"/>
      <c r="T52" s="21"/>
      <c r="U52" s="21"/>
      <c r="V52" s="21"/>
      <c r="W52" s="25"/>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row>
    <row r="53" spans="3:112" x14ac:dyDescent="0.2">
      <c r="C53" s="21"/>
      <c r="D53" s="21"/>
      <c r="E53" s="21"/>
      <c r="F53" s="21"/>
      <c r="G53" s="21"/>
      <c r="H53" s="21"/>
      <c r="I53" s="21"/>
      <c r="J53" s="21"/>
      <c r="K53" s="21"/>
      <c r="L53" s="21"/>
      <c r="M53" s="21"/>
      <c r="N53" s="21"/>
      <c r="O53" s="21"/>
      <c r="P53" s="21"/>
      <c r="Q53" s="21"/>
      <c r="R53" s="21"/>
      <c r="S53" s="21"/>
      <c r="T53" s="21"/>
      <c r="U53" s="21"/>
      <c r="V53" s="21"/>
      <c r="W53" s="25"/>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row>
    <row r="54" spans="3:112" x14ac:dyDescent="0.2">
      <c r="C54" s="21"/>
      <c r="D54" s="21"/>
      <c r="E54" s="21"/>
      <c r="F54" s="21"/>
      <c r="G54" s="21"/>
      <c r="H54" s="21"/>
      <c r="I54" s="21"/>
      <c r="J54" s="21"/>
      <c r="K54" s="21"/>
      <c r="L54" s="21"/>
      <c r="M54" s="21"/>
      <c r="N54" s="21"/>
      <c r="O54" s="21"/>
      <c r="P54" s="21"/>
      <c r="Q54" s="21"/>
      <c r="R54" s="21"/>
      <c r="S54" s="21"/>
      <c r="T54" s="21"/>
      <c r="U54" s="21"/>
      <c r="V54" s="21"/>
      <c r="W54" s="25"/>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row>
    <row r="55" spans="3:112" x14ac:dyDescent="0.2">
      <c r="C55" s="21"/>
      <c r="D55" s="21"/>
      <c r="E55" s="21"/>
      <c r="F55" s="21"/>
      <c r="G55" s="21"/>
      <c r="H55" s="21"/>
      <c r="I55" s="21"/>
      <c r="J55" s="21"/>
      <c r="K55" s="21"/>
      <c r="L55" s="21"/>
      <c r="M55" s="21"/>
      <c r="N55" s="21"/>
      <c r="O55" s="21"/>
      <c r="P55" s="21"/>
      <c r="Q55" s="21"/>
      <c r="R55" s="21"/>
      <c r="S55" s="21"/>
      <c r="T55" s="21"/>
      <c r="U55" s="21"/>
      <c r="V55" s="21"/>
      <c r="W55" s="25"/>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O46"/>
  <sheetViews>
    <sheetView zoomScale="90" zoomScaleNormal="90" workbookViewId="0">
      <pane xSplit="2" ySplit="3" topLeftCell="D4" activePane="bottomRight" state="frozen"/>
      <selection pane="topRight" activeCell="C1" sqref="C1"/>
      <selection pane="bottomLeft" activeCell="A4" sqref="A4"/>
      <selection pane="bottomRight" activeCell="C4" sqref="C4"/>
    </sheetView>
  </sheetViews>
  <sheetFormatPr defaultRowHeight="12.75" x14ac:dyDescent="0.2"/>
  <cols>
    <col min="1" max="1" width="40.85546875" style="2" customWidth="1"/>
    <col min="2" max="2" width="10.5703125" style="33" bestFit="1" customWidth="1"/>
    <col min="3" max="22" width="9.140625" style="2"/>
    <col min="23" max="23" width="9.140625" style="6"/>
    <col min="24" max="16384" width="9.140625" style="2"/>
  </cols>
  <sheetData>
    <row r="1" spans="1:93" ht="15.75" x14ac:dyDescent="0.25">
      <c r="A1" s="12" t="s">
        <v>58</v>
      </c>
    </row>
    <row r="2" spans="1:93" s="3" customFormat="1" ht="15.75" x14ac:dyDescent="0.25">
      <c r="B2" s="34"/>
      <c r="C2" s="13">
        <v>2010</v>
      </c>
      <c r="D2" s="13">
        <v>2011</v>
      </c>
      <c r="E2" s="13">
        <v>2012</v>
      </c>
      <c r="F2" s="13">
        <v>2013</v>
      </c>
      <c r="G2" s="13">
        <v>2014</v>
      </c>
      <c r="H2" s="13">
        <v>2015</v>
      </c>
      <c r="I2" s="13">
        <v>2016</v>
      </c>
      <c r="J2" s="13">
        <v>2017</v>
      </c>
      <c r="K2" s="13">
        <v>2018</v>
      </c>
      <c r="L2" s="13">
        <v>2019</v>
      </c>
      <c r="M2" s="13">
        <v>2020</v>
      </c>
      <c r="N2" s="13">
        <v>2021</v>
      </c>
      <c r="O2" s="13">
        <v>2022</v>
      </c>
      <c r="P2" s="13">
        <v>2023</v>
      </c>
      <c r="Q2" s="13">
        <v>2024</v>
      </c>
      <c r="R2" s="13">
        <v>2025</v>
      </c>
      <c r="S2" s="13">
        <v>2026</v>
      </c>
      <c r="T2" s="13">
        <v>2027</v>
      </c>
      <c r="U2" s="13">
        <v>2028</v>
      </c>
      <c r="V2" s="13">
        <v>2029</v>
      </c>
      <c r="W2" s="13">
        <v>2030</v>
      </c>
      <c r="X2" s="13">
        <v>2031</v>
      </c>
      <c r="Y2" s="13">
        <v>2032</v>
      </c>
      <c r="Z2" s="13">
        <v>2033</v>
      </c>
      <c r="AA2" s="13">
        <v>2034</v>
      </c>
      <c r="AB2" s="13">
        <v>2035</v>
      </c>
      <c r="AC2" s="13">
        <v>2036</v>
      </c>
      <c r="AD2" s="13">
        <v>2037</v>
      </c>
      <c r="AE2" s="13">
        <v>2038</v>
      </c>
      <c r="AF2" s="13">
        <v>2039</v>
      </c>
      <c r="AG2" s="13">
        <v>2040</v>
      </c>
      <c r="AH2" s="13">
        <v>2041</v>
      </c>
      <c r="AI2" s="13">
        <v>2042</v>
      </c>
      <c r="AJ2" s="13">
        <v>2043</v>
      </c>
      <c r="AK2" s="13">
        <v>2044</v>
      </c>
      <c r="AL2" s="13">
        <v>2045</v>
      </c>
      <c r="AM2" s="13">
        <v>2046</v>
      </c>
      <c r="AN2" s="13">
        <v>2047</v>
      </c>
      <c r="AO2" s="13">
        <v>2048</v>
      </c>
      <c r="AP2" s="13">
        <v>2049</v>
      </c>
      <c r="AQ2" s="13">
        <v>2050</v>
      </c>
      <c r="AR2" s="13">
        <v>2051</v>
      </c>
      <c r="AS2" s="13">
        <v>2052</v>
      </c>
      <c r="AT2" s="13">
        <v>2053</v>
      </c>
      <c r="AU2" s="13">
        <v>2054</v>
      </c>
      <c r="AV2" s="13">
        <v>2055</v>
      </c>
      <c r="AW2" s="13">
        <v>2056</v>
      </c>
      <c r="AX2" s="13">
        <v>2057</v>
      </c>
      <c r="AY2" s="13">
        <v>2058</v>
      </c>
      <c r="AZ2" s="13">
        <v>2059</v>
      </c>
      <c r="BA2" s="13">
        <v>2060</v>
      </c>
      <c r="BB2" s="13">
        <v>2061</v>
      </c>
      <c r="BC2" s="13">
        <v>2062</v>
      </c>
      <c r="BD2" s="13">
        <v>2063</v>
      </c>
      <c r="BE2" s="13">
        <v>2064</v>
      </c>
      <c r="BF2" s="13">
        <v>2065</v>
      </c>
      <c r="BG2" s="13">
        <v>2066</v>
      </c>
      <c r="BH2" s="13">
        <v>2067</v>
      </c>
      <c r="BI2" s="13">
        <v>2068</v>
      </c>
      <c r="BJ2" s="13">
        <v>2069</v>
      </c>
      <c r="BK2" s="13">
        <v>2070</v>
      </c>
      <c r="BL2" s="13">
        <v>2071</v>
      </c>
      <c r="BM2" s="13">
        <v>2072</v>
      </c>
      <c r="BN2" s="13">
        <v>2073</v>
      </c>
      <c r="BO2" s="13">
        <v>2074</v>
      </c>
      <c r="BP2" s="13">
        <v>2075</v>
      </c>
      <c r="BQ2" s="13">
        <v>2076</v>
      </c>
      <c r="BR2" s="13">
        <v>2077</v>
      </c>
      <c r="BS2" s="13">
        <v>2078</v>
      </c>
      <c r="BT2" s="13">
        <v>2079</v>
      </c>
      <c r="BU2" s="13">
        <v>2080</v>
      </c>
      <c r="BV2" s="13">
        <v>2081</v>
      </c>
      <c r="BW2" s="13">
        <v>2082</v>
      </c>
      <c r="BX2" s="13">
        <v>2083</v>
      </c>
      <c r="BY2" s="13">
        <v>2084</v>
      </c>
      <c r="BZ2" s="13">
        <v>2085</v>
      </c>
      <c r="CA2" s="13">
        <v>2086</v>
      </c>
      <c r="CB2" s="13">
        <v>2087</v>
      </c>
      <c r="CC2" s="13">
        <v>2088</v>
      </c>
      <c r="CD2" s="13">
        <v>2089</v>
      </c>
      <c r="CE2" s="13">
        <v>2090</v>
      </c>
      <c r="CF2" s="13">
        <v>2091</v>
      </c>
      <c r="CG2" s="13">
        <v>2092</v>
      </c>
      <c r="CH2" s="13">
        <v>2093</v>
      </c>
      <c r="CI2" s="13">
        <v>2094</v>
      </c>
      <c r="CJ2" s="13">
        <v>2095</v>
      </c>
      <c r="CK2" s="13">
        <v>2096</v>
      </c>
      <c r="CL2" s="13">
        <v>2097</v>
      </c>
      <c r="CM2" s="13">
        <v>2098</v>
      </c>
      <c r="CN2" s="13">
        <v>2099</v>
      </c>
      <c r="CO2" s="13">
        <v>2100</v>
      </c>
    </row>
    <row r="3" spans="1:93" x14ac:dyDescent="0.2">
      <c r="C3" s="3"/>
      <c r="D3" s="3"/>
      <c r="E3" s="3"/>
      <c r="F3" s="3"/>
      <c r="G3" s="3"/>
      <c r="H3" s="3"/>
      <c r="I3" s="3"/>
      <c r="J3" s="3"/>
      <c r="K3" s="3"/>
      <c r="L3" s="3"/>
      <c r="M3" s="3"/>
      <c r="N3" s="3"/>
      <c r="O3" s="3"/>
      <c r="P3" s="3"/>
      <c r="Q3" s="3"/>
      <c r="R3" s="3"/>
      <c r="S3" s="3"/>
      <c r="T3" s="3"/>
      <c r="U3" s="3"/>
      <c r="V3" s="3"/>
      <c r="W3" s="39"/>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93" x14ac:dyDescent="0.2">
      <c r="A4" s="4" t="s">
        <v>25</v>
      </c>
      <c r="B4" s="29" t="s">
        <v>26</v>
      </c>
      <c r="C4" s="19">
        <v>12.732093151862559</v>
      </c>
      <c r="D4" s="19">
        <v>13.168452450305116</v>
      </c>
      <c r="E4" s="19">
        <v>13.904375105463373</v>
      </c>
      <c r="F4" s="19">
        <v>13.889004233532809</v>
      </c>
      <c r="G4" s="19">
        <v>14.592016840012151</v>
      </c>
      <c r="H4" s="19">
        <v>15.077187089130756</v>
      </c>
      <c r="I4" s="19">
        <v>15.454423942874879</v>
      </c>
      <c r="J4" s="19">
        <v>16.002956877224488</v>
      </c>
      <c r="K4" s="19">
        <v>16.33644215820074</v>
      </c>
      <c r="L4" s="19">
        <v>16.546478618217424</v>
      </c>
      <c r="M4" s="19">
        <v>16.94414572180029</v>
      </c>
      <c r="N4" s="19">
        <v>17.462418757803835</v>
      </c>
      <c r="O4" s="19">
        <v>17.979872656431777</v>
      </c>
      <c r="P4" s="19">
        <v>18.595093010066339</v>
      </c>
      <c r="Q4" s="19">
        <v>19.437599893156897</v>
      </c>
      <c r="R4" s="19">
        <v>21.609036706795784</v>
      </c>
      <c r="S4" s="19">
        <v>22.437088224434405</v>
      </c>
      <c r="T4" s="19">
        <v>23.225387487080191</v>
      </c>
      <c r="U4" s="19">
        <v>23.853328562312456</v>
      </c>
      <c r="V4" s="19">
        <v>24.228059819378238</v>
      </c>
      <c r="W4" s="26">
        <v>24.922302837483407</v>
      </c>
      <c r="X4" s="19">
        <v>24.922302837483407</v>
      </c>
      <c r="Y4" s="19">
        <v>24.922302837483407</v>
      </c>
      <c r="Z4" s="19">
        <v>24.922302837483407</v>
      </c>
      <c r="AA4" s="19">
        <v>24.922302837483407</v>
      </c>
      <c r="AB4" s="19">
        <v>24.922302837483407</v>
      </c>
      <c r="AC4" s="19">
        <v>24.922302837483407</v>
      </c>
      <c r="AD4" s="19">
        <v>24.922302837483407</v>
      </c>
      <c r="AE4" s="19">
        <v>24.922302837483407</v>
      </c>
      <c r="AF4" s="19">
        <v>24.922302837483407</v>
      </c>
      <c r="AG4" s="19">
        <v>24.922302837483407</v>
      </c>
      <c r="AH4" s="19">
        <v>24.922302837483407</v>
      </c>
      <c r="AI4" s="19">
        <v>24.922302837483407</v>
      </c>
      <c r="AJ4" s="19">
        <v>24.922302837483407</v>
      </c>
      <c r="AK4" s="19">
        <v>24.922302837483407</v>
      </c>
      <c r="AL4" s="19">
        <v>24.922302837483407</v>
      </c>
      <c r="AM4" s="19">
        <v>24.922302837483407</v>
      </c>
      <c r="AN4" s="19">
        <v>24.922302837483407</v>
      </c>
      <c r="AO4" s="19">
        <v>24.922302837483407</v>
      </c>
      <c r="AP4" s="19">
        <v>24.922302837483407</v>
      </c>
      <c r="AQ4" s="19">
        <v>24.922302837483407</v>
      </c>
      <c r="AR4" s="19">
        <v>24.922302837483407</v>
      </c>
      <c r="AS4" s="19">
        <v>24.922302837483407</v>
      </c>
      <c r="AT4" s="19">
        <v>24.922302837483407</v>
      </c>
      <c r="AU4" s="19">
        <v>24.922302837483407</v>
      </c>
      <c r="AV4" s="19">
        <v>24.922302837483407</v>
      </c>
      <c r="AW4" s="19">
        <v>24.922302837483407</v>
      </c>
      <c r="AX4" s="19">
        <v>24.922302837483407</v>
      </c>
      <c r="AY4" s="19">
        <v>24.922302837483407</v>
      </c>
      <c r="AZ4" s="19">
        <v>24.922302837483407</v>
      </c>
      <c r="BA4" s="19">
        <v>24.922302837483407</v>
      </c>
      <c r="BB4" s="19">
        <v>24.922302837483407</v>
      </c>
      <c r="BC4" s="19">
        <v>24.922302837483407</v>
      </c>
      <c r="BD4" s="19">
        <v>24.922302837483407</v>
      </c>
      <c r="BE4" s="19">
        <v>24.922302837483407</v>
      </c>
      <c r="BF4" s="19">
        <v>24.922302837483407</v>
      </c>
      <c r="BG4" s="19">
        <v>24.922302837483407</v>
      </c>
      <c r="BH4" s="19">
        <v>24.922302837483407</v>
      </c>
      <c r="BI4" s="19">
        <v>24.922302837483407</v>
      </c>
      <c r="BJ4" s="19">
        <v>24.922302837483407</v>
      </c>
      <c r="BK4" s="19">
        <v>24.922302837483407</v>
      </c>
      <c r="BL4" s="19">
        <v>24.922302837483407</v>
      </c>
      <c r="BM4" s="19">
        <v>24.922302837483407</v>
      </c>
      <c r="BN4" s="19">
        <v>24.922302837483407</v>
      </c>
      <c r="BO4" s="19">
        <v>24.922302837483407</v>
      </c>
      <c r="BP4" s="19">
        <v>24.922302837483407</v>
      </c>
      <c r="BQ4" s="19">
        <v>24.922302837483407</v>
      </c>
      <c r="BR4" s="19">
        <v>24.922302837483407</v>
      </c>
      <c r="BS4" s="19">
        <v>24.922302837483407</v>
      </c>
      <c r="BT4" s="19">
        <v>24.922302837483407</v>
      </c>
      <c r="BU4" s="19">
        <v>24.922302837483407</v>
      </c>
      <c r="BV4" s="19">
        <v>24.922302837483407</v>
      </c>
      <c r="BW4" s="19">
        <v>24.922302837483407</v>
      </c>
      <c r="BX4" s="19">
        <v>24.922302837483407</v>
      </c>
      <c r="BY4" s="19">
        <v>24.922302837483407</v>
      </c>
      <c r="BZ4" s="19">
        <v>24.922302837483407</v>
      </c>
      <c r="CA4" s="19">
        <v>24.922302837483407</v>
      </c>
      <c r="CB4" s="19">
        <v>24.922302837483407</v>
      </c>
      <c r="CC4" s="19">
        <v>24.922302837483407</v>
      </c>
      <c r="CD4" s="19">
        <v>24.922302837483407</v>
      </c>
      <c r="CE4" s="19">
        <v>24.922302837483407</v>
      </c>
      <c r="CF4" s="19">
        <v>24.922302837483407</v>
      </c>
      <c r="CG4" s="19">
        <v>24.922302837483407</v>
      </c>
      <c r="CH4" s="19">
        <v>24.922302837483407</v>
      </c>
      <c r="CI4" s="19">
        <v>24.922302837483407</v>
      </c>
      <c r="CJ4" s="19">
        <v>24.922302837483407</v>
      </c>
      <c r="CK4" s="19">
        <v>24.922302837483407</v>
      </c>
      <c r="CL4" s="19">
        <v>24.922302837483407</v>
      </c>
      <c r="CM4" s="19">
        <v>24.922302837483407</v>
      </c>
      <c r="CN4" s="19">
        <v>24.922302837483407</v>
      </c>
      <c r="CO4" s="19">
        <v>24.922302837483407</v>
      </c>
    </row>
    <row r="5" spans="1:93" x14ac:dyDescent="0.2">
      <c r="A5" s="4" t="s">
        <v>27</v>
      </c>
      <c r="B5" s="29" t="s">
        <v>26</v>
      </c>
      <c r="C5" s="19">
        <v>11.159674430146184</v>
      </c>
      <c r="D5" s="19">
        <v>11.475398856238908</v>
      </c>
      <c r="E5" s="19">
        <v>12.020053682758086</v>
      </c>
      <c r="F5" s="19">
        <v>12.462634954591705</v>
      </c>
      <c r="G5" s="19">
        <v>12.979041029865602</v>
      </c>
      <c r="H5" s="19">
        <v>13.449188462301032</v>
      </c>
      <c r="I5" s="19">
        <v>13.85653755553691</v>
      </c>
      <c r="J5" s="19">
        <v>14.400247256549736</v>
      </c>
      <c r="K5" s="19">
        <v>14.778927542759737</v>
      </c>
      <c r="L5" s="19">
        <v>15.084203081310058</v>
      </c>
      <c r="M5" s="19">
        <v>15.509352038248819</v>
      </c>
      <c r="N5" s="19">
        <v>16.258941578727736</v>
      </c>
      <c r="O5" s="19">
        <v>16.793515066512537</v>
      </c>
      <c r="P5" s="19">
        <v>17.428009323107325</v>
      </c>
      <c r="Q5" s="19">
        <v>18.298784956289051</v>
      </c>
      <c r="R5" s="19">
        <v>20.550073912409385</v>
      </c>
      <c r="S5" s="19">
        <v>21.407460267584518</v>
      </c>
      <c r="T5" s="19">
        <v>22.22698909553317</v>
      </c>
      <c r="U5" s="19">
        <v>22.880805918035509</v>
      </c>
      <c r="V5" s="19">
        <v>23.273295538032698</v>
      </c>
      <c r="W5" s="26">
        <v>23.997629224703093</v>
      </c>
      <c r="X5" s="19">
        <v>23.997629224703093</v>
      </c>
      <c r="Y5" s="19">
        <v>23.997629224703093</v>
      </c>
      <c r="Z5" s="19">
        <v>23.997629224703093</v>
      </c>
      <c r="AA5" s="19">
        <v>23.997629224703093</v>
      </c>
      <c r="AB5" s="19">
        <v>23.997629224703093</v>
      </c>
      <c r="AC5" s="19">
        <v>23.997629224703093</v>
      </c>
      <c r="AD5" s="19">
        <v>23.997629224703093</v>
      </c>
      <c r="AE5" s="19">
        <v>23.997629224703093</v>
      </c>
      <c r="AF5" s="19">
        <v>23.997629224703093</v>
      </c>
      <c r="AG5" s="19">
        <v>23.997629224703093</v>
      </c>
      <c r="AH5" s="19">
        <v>23.997629224703093</v>
      </c>
      <c r="AI5" s="19">
        <v>23.997629224703093</v>
      </c>
      <c r="AJ5" s="19">
        <v>23.997629224703093</v>
      </c>
      <c r="AK5" s="19">
        <v>23.997629224703093</v>
      </c>
      <c r="AL5" s="19">
        <v>23.997629224703093</v>
      </c>
      <c r="AM5" s="19">
        <v>23.997629224703093</v>
      </c>
      <c r="AN5" s="19">
        <v>23.997629224703093</v>
      </c>
      <c r="AO5" s="19">
        <v>23.997629224703093</v>
      </c>
      <c r="AP5" s="19">
        <v>23.997629224703093</v>
      </c>
      <c r="AQ5" s="19">
        <v>23.997629224703093</v>
      </c>
      <c r="AR5" s="19">
        <v>23.997629224703093</v>
      </c>
      <c r="AS5" s="19">
        <v>23.997629224703093</v>
      </c>
      <c r="AT5" s="19">
        <v>23.997629224703093</v>
      </c>
      <c r="AU5" s="19">
        <v>23.997629224703093</v>
      </c>
      <c r="AV5" s="19">
        <v>23.997629224703093</v>
      </c>
      <c r="AW5" s="19">
        <v>23.997629224703093</v>
      </c>
      <c r="AX5" s="19">
        <v>23.997629224703093</v>
      </c>
      <c r="AY5" s="19">
        <v>23.997629224703093</v>
      </c>
      <c r="AZ5" s="19">
        <v>23.997629224703093</v>
      </c>
      <c r="BA5" s="19">
        <v>23.997629224703093</v>
      </c>
      <c r="BB5" s="19">
        <v>23.997629224703093</v>
      </c>
      <c r="BC5" s="19">
        <v>23.997629224703093</v>
      </c>
      <c r="BD5" s="19">
        <v>23.997629224703093</v>
      </c>
      <c r="BE5" s="19">
        <v>23.997629224703093</v>
      </c>
      <c r="BF5" s="19">
        <v>23.997629224703093</v>
      </c>
      <c r="BG5" s="19">
        <v>23.997629224703093</v>
      </c>
      <c r="BH5" s="19">
        <v>23.997629224703093</v>
      </c>
      <c r="BI5" s="19">
        <v>23.997629224703093</v>
      </c>
      <c r="BJ5" s="19">
        <v>23.997629224703093</v>
      </c>
      <c r="BK5" s="19">
        <v>23.997629224703093</v>
      </c>
      <c r="BL5" s="19">
        <v>23.997629224703093</v>
      </c>
      <c r="BM5" s="19">
        <v>23.997629224703093</v>
      </c>
      <c r="BN5" s="19">
        <v>23.997629224703093</v>
      </c>
      <c r="BO5" s="19">
        <v>23.997629224703093</v>
      </c>
      <c r="BP5" s="19">
        <v>23.997629224703093</v>
      </c>
      <c r="BQ5" s="19">
        <v>23.997629224703093</v>
      </c>
      <c r="BR5" s="19">
        <v>23.997629224703093</v>
      </c>
      <c r="BS5" s="19">
        <v>23.997629224703093</v>
      </c>
      <c r="BT5" s="19">
        <v>23.997629224703093</v>
      </c>
      <c r="BU5" s="19">
        <v>23.997629224703093</v>
      </c>
      <c r="BV5" s="19">
        <v>23.997629224703093</v>
      </c>
      <c r="BW5" s="19">
        <v>23.997629224703093</v>
      </c>
      <c r="BX5" s="19">
        <v>23.997629224703093</v>
      </c>
      <c r="BY5" s="19">
        <v>23.997629224703093</v>
      </c>
      <c r="BZ5" s="19">
        <v>23.997629224703093</v>
      </c>
      <c r="CA5" s="19">
        <v>23.997629224703093</v>
      </c>
      <c r="CB5" s="19">
        <v>23.997629224703093</v>
      </c>
      <c r="CC5" s="19">
        <v>23.997629224703093</v>
      </c>
      <c r="CD5" s="19">
        <v>23.997629224703093</v>
      </c>
      <c r="CE5" s="19">
        <v>23.997629224703093</v>
      </c>
      <c r="CF5" s="19">
        <v>23.997629224703093</v>
      </c>
      <c r="CG5" s="19">
        <v>23.997629224703093</v>
      </c>
      <c r="CH5" s="19">
        <v>23.997629224703093</v>
      </c>
      <c r="CI5" s="19">
        <v>23.997629224703093</v>
      </c>
      <c r="CJ5" s="19">
        <v>23.997629224703093</v>
      </c>
      <c r="CK5" s="19">
        <v>23.997629224703093</v>
      </c>
      <c r="CL5" s="19">
        <v>23.997629224703093</v>
      </c>
      <c r="CM5" s="19">
        <v>23.997629224703093</v>
      </c>
      <c r="CN5" s="19">
        <v>23.997629224703093</v>
      </c>
      <c r="CO5" s="19">
        <v>23.997629224703093</v>
      </c>
    </row>
    <row r="6" spans="1:93" x14ac:dyDescent="0.2">
      <c r="A6" s="4" t="s">
        <v>28</v>
      </c>
      <c r="B6" s="29" t="s">
        <v>26</v>
      </c>
      <c r="C6" s="19">
        <v>10.241000023529772</v>
      </c>
      <c r="D6" s="19">
        <v>10.530733731738152</v>
      </c>
      <c r="E6" s="19">
        <v>11.030552084514726</v>
      </c>
      <c r="F6" s="19">
        <v>11.436699669162728</v>
      </c>
      <c r="G6" s="19">
        <v>11.910594733228823</v>
      </c>
      <c r="H6" s="19">
        <v>12.34203920741772</v>
      </c>
      <c r="I6" s="19">
        <v>12.715854958004883</v>
      </c>
      <c r="J6" s="19">
        <v>13.214805988854335</v>
      </c>
      <c r="K6" s="19">
        <v>13.562312974318971</v>
      </c>
      <c r="L6" s="19">
        <v>13.842457956777563</v>
      </c>
      <c r="M6" s="19">
        <v>14.232608270325418</v>
      </c>
      <c r="N6" s="19">
        <v>14.920490927631729</v>
      </c>
      <c r="O6" s="19">
        <v>15.411057846519061</v>
      </c>
      <c r="P6" s="19">
        <v>15.993319966923195</v>
      </c>
      <c r="Q6" s="19">
        <v>16.792412569106428</v>
      </c>
      <c r="R6" s="19">
        <v>18.858373399497665</v>
      </c>
      <c r="S6" s="19">
        <v>19.645178941046751</v>
      </c>
      <c r="T6" s="19">
        <v>20.397243420959676</v>
      </c>
      <c r="U6" s="19">
        <v>20.997237456318189</v>
      </c>
      <c r="V6" s="19">
        <v>21.357416978829022</v>
      </c>
      <c r="W6" s="26">
        <v>22.022122866860716</v>
      </c>
      <c r="X6" s="19">
        <v>22.022122866860716</v>
      </c>
      <c r="Y6" s="19">
        <v>22.022122866860716</v>
      </c>
      <c r="Z6" s="19">
        <v>22.022122866860716</v>
      </c>
      <c r="AA6" s="19">
        <v>22.022122866860716</v>
      </c>
      <c r="AB6" s="19">
        <v>22.022122866860716</v>
      </c>
      <c r="AC6" s="19">
        <v>22.022122866860716</v>
      </c>
      <c r="AD6" s="19">
        <v>22.022122866860716</v>
      </c>
      <c r="AE6" s="19">
        <v>22.022122866860716</v>
      </c>
      <c r="AF6" s="19">
        <v>22.022122866860716</v>
      </c>
      <c r="AG6" s="19">
        <v>22.022122866860716</v>
      </c>
      <c r="AH6" s="19">
        <v>22.022122866860716</v>
      </c>
      <c r="AI6" s="19">
        <v>22.022122866860716</v>
      </c>
      <c r="AJ6" s="19">
        <v>22.022122866860716</v>
      </c>
      <c r="AK6" s="19">
        <v>22.022122866860716</v>
      </c>
      <c r="AL6" s="19">
        <v>22.022122866860716</v>
      </c>
      <c r="AM6" s="19">
        <v>22.022122866860716</v>
      </c>
      <c r="AN6" s="19">
        <v>22.022122866860716</v>
      </c>
      <c r="AO6" s="19">
        <v>22.022122866860716</v>
      </c>
      <c r="AP6" s="19">
        <v>22.022122866860716</v>
      </c>
      <c r="AQ6" s="19">
        <v>22.022122866860716</v>
      </c>
      <c r="AR6" s="19">
        <v>22.022122866860716</v>
      </c>
      <c r="AS6" s="19">
        <v>22.022122866860716</v>
      </c>
      <c r="AT6" s="19">
        <v>22.022122866860716</v>
      </c>
      <c r="AU6" s="19">
        <v>22.022122866860716</v>
      </c>
      <c r="AV6" s="19">
        <v>22.022122866860716</v>
      </c>
      <c r="AW6" s="19">
        <v>22.022122866860716</v>
      </c>
      <c r="AX6" s="19">
        <v>22.022122866860716</v>
      </c>
      <c r="AY6" s="19">
        <v>22.022122866860716</v>
      </c>
      <c r="AZ6" s="19">
        <v>22.022122866860716</v>
      </c>
      <c r="BA6" s="19">
        <v>22.022122866860716</v>
      </c>
      <c r="BB6" s="19">
        <v>22.022122866860716</v>
      </c>
      <c r="BC6" s="19">
        <v>22.022122866860716</v>
      </c>
      <c r="BD6" s="19">
        <v>22.022122866860716</v>
      </c>
      <c r="BE6" s="19">
        <v>22.022122866860716</v>
      </c>
      <c r="BF6" s="19">
        <v>22.022122866860716</v>
      </c>
      <c r="BG6" s="19">
        <v>22.022122866860716</v>
      </c>
      <c r="BH6" s="19">
        <v>22.022122866860716</v>
      </c>
      <c r="BI6" s="19">
        <v>22.022122866860716</v>
      </c>
      <c r="BJ6" s="19">
        <v>22.022122866860716</v>
      </c>
      <c r="BK6" s="19">
        <v>22.022122866860716</v>
      </c>
      <c r="BL6" s="19">
        <v>22.022122866860716</v>
      </c>
      <c r="BM6" s="19">
        <v>22.022122866860716</v>
      </c>
      <c r="BN6" s="19">
        <v>22.022122866860716</v>
      </c>
      <c r="BO6" s="19">
        <v>22.022122866860716</v>
      </c>
      <c r="BP6" s="19">
        <v>22.022122866860716</v>
      </c>
      <c r="BQ6" s="19">
        <v>22.022122866860716</v>
      </c>
      <c r="BR6" s="19">
        <v>22.022122866860716</v>
      </c>
      <c r="BS6" s="19">
        <v>22.022122866860716</v>
      </c>
      <c r="BT6" s="19">
        <v>22.022122866860716</v>
      </c>
      <c r="BU6" s="19">
        <v>22.022122866860716</v>
      </c>
      <c r="BV6" s="19">
        <v>22.022122866860716</v>
      </c>
      <c r="BW6" s="19">
        <v>22.022122866860716</v>
      </c>
      <c r="BX6" s="19">
        <v>22.022122866860716</v>
      </c>
      <c r="BY6" s="19">
        <v>22.022122866860716</v>
      </c>
      <c r="BZ6" s="19">
        <v>22.022122866860716</v>
      </c>
      <c r="CA6" s="19">
        <v>22.022122866860716</v>
      </c>
      <c r="CB6" s="19">
        <v>22.022122866860716</v>
      </c>
      <c r="CC6" s="19">
        <v>22.022122866860716</v>
      </c>
      <c r="CD6" s="19">
        <v>22.022122866860716</v>
      </c>
      <c r="CE6" s="19">
        <v>22.022122866860716</v>
      </c>
      <c r="CF6" s="19">
        <v>22.022122866860716</v>
      </c>
      <c r="CG6" s="19">
        <v>22.022122866860716</v>
      </c>
      <c r="CH6" s="19">
        <v>22.022122866860716</v>
      </c>
      <c r="CI6" s="19">
        <v>22.022122866860716</v>
      </c>
      <c r="CJ6" s="19">
        <v>22.022122866860716</v>
      </c>
      <c r="CK6" s="19">
        <v>22.022122866860716</v>
      </c>
      <c r="CL6" s="19">
        <v>22.022122866860716</v>
      </c>
      <c r="CM6" s="19">
        <v>22.022122866860716</v>
      </c>
      <c r="CN6" s="19">
        <v>22.022122866860716</v>
      </c>
      <c r="CO6" s="19">
        <v>22.022122866860716</v>
      </c>
    </row>
    <row r="7" spans="1:93" s="6" customFormat="1" x14ac:dyDescent="0.2">
      <c r="A7" s="4" t="s">
        <v>29</v>
      </c>
      <c r="B7" s="29" t="s">
        <v>26</v>
      </c>
      <c r="C7" s="19">
        <v>8.4534407036813484</v>
      </c>
      <c r="D7" s="19">
        <v>8.7201398789848863</v>
      </c>
      <c r="E7" s="19">
        <v>9.1668719354788042</v>
      </c>
      <c r="F7" s="19">
        <v>9.4638907507138903</v>
      </c>
      <c r="G7" s="19">
        <v>9.7504675808189951</v>
      </c>
      <c r="H7" s="19">
        <v>9.9886340859720697</v>
      </c>
      <c r="I7" s="19">
        <v>10.193015058755542</v>
      </c>
      <c r="J7" s="19">
        <v>10.555664880703837</v>
      </c>
      <c r="K7" s="19">
        <v>10.581403771803213</v>
      </c>
      <c r="L7" s="19">
        <v>10.717306536607628</v>
      </c>
      <c r="M7" s="19">
        <v>10.969359680962878</v>
      </c>
      <c r="N7" s="19">
        <v>11.389949483164482</v>
      </c>
      <c r="O7" s="19">
        <v>11.484622950353854</v>
      </c>
      <c r="P7" s="19">
        <v>11.730097877874908</v>
      </c>
      <c r="Q7" s="19">
        <v>12.217072256154836</v>
      </c>
      <c r="R7" s="19">
        <v>14.202814874997932</v>
      </c>
      <c r="S7" s="19">
        <v>14.738120401120081</v>
      </c>
      <c r="T7" s="19">
        <v>15.220773614897075</v>
      </c>
      <c r="U7" s="19">
        <v>15.679975112818454</v>
      </c>
      <c r="V7" s="19">
        <v>15.814548599455273</v>
      </c>
      <c r="W7" s="26">
        <v>16.293843723515909</v>
      </c>
      <c r="X7" s="19">
        <v>16.293843723515909</v>
      </c>
      <c r="Y7" s="19">
        <v>16.293843723515909</v>
      </c>
      <c r="Z7" s="19">
        <v>16.293843723515909</v>
      </c>
      <c r="AA7" s="19">
        <v>16.293843723515909</v>
      </c>
      <c r="AB7" s="19">
        <v>16.293843723515909</v>
      </c>
      <c r="AC7" s="19">
        <v>16.293843723515909</v>
      </c>
      <c r="AD7" s="19">
        <v>16.293843723515909</v>
      </c>
      <c r="AE7" s="19">
        <v>16.293843723515909</v>
      </c>
      <c r="AF7" s="19">
        <v>16.293843723515909</v>
      </c>
      <c r="AG7" s="19">
        <v>16.293843723515909</v>
      </c>
      <c r="AH7" s="19">
        <v>16.293843723515909</v>
      </c>
      <c r="AI7" s="19">
        <v>16.293843723515909</v>
      </c>
      <c r="AJ7" s="19">
        <v>16.293843723515909</v>
      </c>
      <c r="AK7" s="19">
        <v>16.293843723515909</v>
      </c>
      <c r="AL7" s="19">
        <v>16.293843723515909</v>
      </c>
      <c r="AM7" s="19">
        <v>16.293843723515909</v>
      </c>
      <c r="AN7" s="19">
        <v>16.293843723515909</v>
      </c>
      <c r="AO7" s="19">
        <v>16.293843723515909</v>
      </c>
      <c r="AP7" s="19">
        <v>16.293843723515909</v>
      </c>
      <c r="AQ7" s="19">
        <v>16.293843723515909</v>
      </c>
      <c r="AR7" s="19">
        <v>16.293843723515909</v>
      </c>
      <c r="AS7" s="19">
        <v>16.293843723515909</v>
      </c>
      <c r="AT7" s="19">
        <v>16.293843723515909</v>
      </c>
      <c r="AU7" s="19">
        <v>16.293843723515909</v>
      </c>
      <c r="AV7" s="19">
        <v>16.293843723515909</v>
      </c>
      <c r="AW7" s="19">
        <v>16.293843723515909</v>
      </c>
      <c r="AX7" s="19">
        <v>16.293843723515909</v>
      </c>
      <c r="AY7" s="19">
        <v>16.293843723515909</v>
      </c>
      <c r="AZ7" s="19">
        <v>16.293843723515909</v>
      </c>
      <c r="BA7" s="19">
        <v>16.293843723515909</v>
      </c>
      <c r="BB7" s="19">
        <v>16.293843723515909</v>
      </c>
      <c r="BC7" s="19">
        <v>16.293843723515909</v>
      </c>
      <c r="BD7" s="19">
        <v>16.293843723515909</v>
      </c>
      <c r="BE7" s="19">
        <v>16.293843723515909</v>
      </c>
      <c r="BF7" s="19">
        <v>16.293843723515909</v>
      </c>
      <c r="BG7" s="19">
        <v>16.293843723515909</v>
      </c>
      <c r="BH7" s="19">
        <v>16.293843723515909</v>
      </c>
      <c r="BI7" s="19">
        <v>16.293843723515909</v>
      </c>
      <c r="BJ7" s="19">
        <v>16.293843723515909</v>
      </c>
      <c r="BK7" s="19">
        <v>16.293843723515909</v>
      </c>
      <c r="BL7" s="19">
        <v>16.293843723515909</v>
      </c>
      <c r="BM7" s="19">
        <v>16.293843723515909</v>
      </c>
      <c r="BN7" s="19">
        <v>16.293843723515909</v>
      </c>
      <c r="BO7" s="19">
        <v>16.293843723515909</v>
      </c>
      <c r="BP7" s="19">
        <v>16.293843723515909</v>
      </c>
      <c r="BQ7" s="19">
        <v>16.293843723515909</v>
      </c>
      <c r="BR7" s="19">
        <v>16.293843723515909</v>
      </c>
      <c r="BS7" s="19">
        <v>16.293843723515909</v>
      </c>
      <c r="BT7" s="19">
        <v>16.293843723515909</v>
      </c>
      <c r="BU7" s="19">
        <v>16.293843723515909</v>
      </c>
      <c r="BV7" s="19">
        <v>16.293843723515909</v>
      </c>
      <c r="BW7" s="19">
        <v>16.293843723515909</v>
      </c>
      <c r="BX7" s="19">
        <v>16.293843723515909</v>
      </c>
      <c r="BY7" s="19">
        <v>16.293843723515909</v>
      </c>
      <c r="BZ7" s="19">
        <v>16.293843723515909</v>
      </c>
      <c r="CA7" s="19">
        <v>16.293843723515909</v>
      </c>
      <c r="CB7" s="19">
        <v>16.293843723515909</v>
      </c>
      <c r="CC7" s="19">
        <v>16.293843723515909</v>
      </c>
      <c r="CD7" s="19">
        <v>16.293843723515909</v>
      </c>
      <c r="CE7" s="19">
        <v>16.293843723515909</v>
      </c>
      <c r="CF7" s="19">
        <v>16.293843723515909</v>
      </c>
      <c r="CG7" s="19">
        <v>16.293843723515909</v>
      </c>
      <c r="CH7" s="19">
        <v>16.293843723515909</v>
      </c>
      <c r="CI7" s="19">
        <v>16.293843723515909</v>
      </c>
      <c r="CJ7" s="19">
        <v>16.293843723515909</v>
      </c>
      <c r="CK7" s="19">
        <v>16.293843723515909</v>
      </c>
      <c r="CL7" s="19">
        <v>16.293843723515909</v>
      </c>
      <c r="CM7" s="19">
        <v>16.293843723515909</v>
      </c>
      <c r="CN7" s="19">
        <v>16.293843723515909</v>
      </c>
      <c r="CO7" s="19">
        <v>16.293843723515909</v>
      </c>
    </row>
    <row r="8" spans="1:93" s="6" customFormat="1" x14ac:dyDescent="0.2">
      <c r="A8" s="4" t="s">
        <v>30</v>
      </c>
      <c r="B8" s="29" t="s">
        <v>26</v>
      </c>
      <c r="C8" s="19">
        <v>7.8134616629341354</v>
      </c>
      <c r="D8" s="19">
        <v>8.0581014093601162</v>
      </c>
      <c r="E8" s="19">
        <v>8.4725184276401215</v>
      </c>
      <c r="F8" s="19">
        <v>8.7460353858387343</v>
      </c>
      <c r="G8" s="19">
        <v>9.0098928959471056</v>
      </c>
      <c r="H8" s="19">
        <v>9.2283319071708902</v>
      </c>
      <c r="I8" s="19">
        <v>9.4151472778931673</v>
      </c>
      <c r="J8" s="19">
        <v>9.7513115200708356</v>
      </c>
      <c r="K8" s="19">
        <v>9.7702694535174643</v>
      </c>
      <c r="L8" s="19">
        <v>9.8932787627255703</v>
      </c>
      <c r="M8" s="19">
        <v>10.125993635931835</v>
      </c>
      <c r="N8" s="19">
        <v>10.517786899306049</v>
      </c>
      <c r="O8" s="19">
        <v>10.602787043778974</v>
      </c>
      <c r="P8" s="19">
        <v>10.830181070078501</v>
      </c>
      <c r="Q8" s="19">
        <v>11.285439382779732</v>
      </c>
      <c r="R8" s="19">
        <v>13.153201187811774</v>
      </c>
      <c r="S8" s="19">
        <v>13.654672191375152</v>
      </c>
      <c r="T8" s="19">
        <v>14.106888704637061</v>
      </c>
      <c r="U8" s="19">
        <v>14.537376549874869</v>
      </c>
      <c r="V8" s="19">
        <v>14.66237306269513</v>
      </c>
      <c r="W8" s="26">
        <v>15.112566672142938</v>
      </c>
      <c r="X8" s="19">
        <v>15.112566672142938</v>
      </c>
      <c r="Y8" s="19">
        <v>15.112566672142938</v>
      </c>
      <c r="Z8" s="19">
        <v>15.112566672142938</v>
      </c>
      <c r="AA8" s="19">
        <v>15.112566672142938</v>
      </c>
      <c r="AB8" s="19">
        <v>15.112566672142938</v>
      </c>
      <c r="AC8" s="19">
        <v>15.112566672142938</v>
      </c>
      <c r="AD8" s="19">
        <v>15.112566672142938</v>
      </c>
      <c r="AE8" s="19">
        <v>15.112566672142938</v>
      </c>
      <c r="AF8" s="19">
        <v>15.112566672142938</v>
      </c>
      <c r="AG8" s="19">
        <v>15.112566672142938</v>
      </c>
      <c r="AH8" s="19">
        <v>15.112566672142938</v>
      </c>
      <c r="AI8" s="19">
        <v>15.112566672142938</v>
      </c>
      <c r="AJ8" s="19">
        <v>15.112566672142938</v>
      </c>
      <c r="AK8" s="19">
        <v>15.112566672142938</v>
      </c>
      <c r="AL8" s="19">
        <v>15.112566672142938</v>
      </c>
      <c r="AM8" s="19">
        <v>15.112566672142938</v>
      </c>
      <c r="AN8" s="19">
        <v>15.112566672142938</v>
      </c>
      <c r="AO8" s="19">
        <v>15.112566672142938</v>
      </c>
      <c r="AP8" s="19">
        <v>15.112566672142938</v>
      </c>
      <c r="AQ8" s="19">
        <v>15.112566672142938</v>
      </c>
      <c r="AR8" s="19">
        <v>15.112566672142938</v>
      </c>
      <c r="AS8" s="19">
        <v>15.112566672142938</v>
      </c>
      <c r="AT8" s="19">
        <v>15.112566672142938</v>
      </c>
      <c r="AU8" s="19">
        <v>15.112566672142938</v>
      </c>
      <c r="AV8" s="19">
        <v>15.112566672142938</v>
      </c>
      <c r="AW8" s="19">
        <v>15.112566672142938</v>
      </c>
      <c r="AX8" s="19">
        <v>15.112566672142938</v>
      </c>
      <c r="AY8" s="19">
        <v>15.112566672142938</v>
      </c>
      <c r="AZ8" s="19">
        <v>15.112566672142938</v>
      </c>
      <c r="BA8" s="19">
        <v>15.112566672142938</v>
      </c>
      <c r="BB8" s="19">
        <v>15.112566672142938</v>
      </c>
      <c r="BC8" s="19">
        <v>15.112566672142938</v>
      </c>
      <c r="BD8" s="19">
        <v>15.112566672142938</v>
      </c>
      <c r="BE8" s="19">
        <v>15.112566672142938</v>
      </c>
      <c r="BF8" s="19">
        <v>15.112566672142938</v>
      </c>
      <c r="BG8" s="19">
        <v>15.112566672142938</v>
      </c>
      <c r="BH8" s="19">
        <v>15.112566672142938</v>
      </c>
      <c r="BI8" s="19">
        <v>15.112566672142938</v>
      </c>
      <c r="BJ8" s="19">
        <v>15.112566672142938</v>
      </c>
      <c r="BK8" s="19">
        <v>15.112566672142938</v>
      </c>
      <c r="BL8" s="19">
        <v>15.112566672142938</v>
      </c>
      <c r="BM8" s="19">
        <v>15.112566672142938</v>
      </c>
      <c r="BN8" s="19">
        <v>15.112566672142938</v>
      </c>
      <c r="BO8" s="19">
        <v>15.112566672142938</v>
      </c>
      <c r="BP8" s="19">
        <v>15.112566672142938</v>
      </c>
      <c r="BQ8" s="19">
        <v>15.112566672142938</v>
      </c>
      <c r="BR8" s="19">
        <v>15.112566672142938</v>
      </c>
      <c r="BS8" s="19">
        <v>15.112566672142938</v>
      </c>
      <c r="BT8" s="19">
        <v>15.112566672142938</v>
      </c>
      <c r="BU8" s="19">
        <v>15.112566672142938</v>
      </c>
      <c r="BV8" s="19">
        <v>15.112566672142938</v>
      </c>
      <c r="BW8" s="19">
        <v>15.112566672142938</v>
      </c>
      <c r="BX8" s="19">
        <v>15.112566672142938</v>
      </c>
      <c r="BY8" s="19">
        <v>15.112566672142938</v>
      </c>
      <c r="BZ8" s="19">
        <v>15.112566672142938</v>
      </c>
      <c r="CA8" s="19">
        <v>15.112566672142938</v>
      </c>
      <c r="CB8" s="19">
        <v>15.112566672142938</v>
      </c>
      <c r="CC8" s="19">
        <v>15.112566672142938</v>
      </c>
      <c r="CD8" s="19">
        <v>15.112566672142938</v>
      </c>
      <c r="CE8" s="19">
        <v>15.112566672142938</v>
      </c>
      <c r="CF8" s="19">
        <v>15.112566672142938</v>
      </c>
      <c r="CG8" s="19">
        <v>15.112566672142938</v>
      </c>
      <c r="CH8" s="19">
        <v>15.112566672142938</v>
      </c>
      <c r="CI8" s="19">
        <v>15.112566672142938</v>
      </c>
      <c r="CJ8" s="19">
        <v>15.112566672142938</v>
      </c>
      <c r="CK8" s="19">
        <v>15.112566672142938</v>
      </c>
      <c r="CL8" s="19">
        <v>15.112566672142938</v>
      </c>
      <c r="CM8" s="19">
        <v>15.112566672142938</v>
      </c>
      <c r="CN8" s="19">
        <v>15.112566672142938</v>
      </c>
      <c r="CO8" s="19">
        <v>15.112566672142938</v>
      </c>
    </row>
    <row r="9" spans="1:93" s="6" customFormat="1" x14ac:dyDescent="0.2">
      <c r="A9" s="4" t="s">
        <v>31</v>
      </c>
      <c r="B9" s="29" t="s">
        <v>26</v>
      </c>
      <c r="C9" s="19">
        <v>7.3031293092803269</v>
      </c>
      <c r="D9" s="19">
        <v>7.5322513626874708</v>
      </c>
      <c r="E9" s="19">
        <v>7.9194432865519291</v>
      </c>
      <c r="F9" s="19">
        <v>8.1754708885969762</v>
      </c>
      <c r="G9" s="19">
        <v>8.4225180769064298</v>
      </c>
      <c r="H9" s="19">
        <v>8.6272948529597588</v>
      </c>
      <c r="I9" s="19">
        <v>8.802645035996667</v>
      </c>
      <c r="J9" s="19">
        <v>9.1170519875491252</v>
      </c>
      <c r="K9" s="19">
        <v>9.1361616920725321</v>
      </c>
      <c r="L9" s="19">
        <v>9.2521588994006905</v>
      </c>
      <c r="M9" s="19">
        <v>9.4703084998462757</v>
      </c>
      <c r="N9" s="19">
        <v>9.8365766797273473</v>
      </c>
      <c r="O9" s="19">
        <v>9.9172458322003187</v>
      </c>
      <c r="P9" s="19">
        <v>10.130502362178909</v>
      </c>
      <c r="Q9" s="19">
        <v>10.555918652872428</v>
      </c>
      <c r="R9" s="19">
        <v>12.296374676627391</v>
      </c>
      <c r="S9" s="19">
        <v>12.764860720381858</v>
      </c>
      <c r="T9" s="19">
        <v>13.187516213678581</v>
      </c>
      <c r="U9" s="19">
        <v>13.589968086204513</v>
      </c>
      <c r="V9" s="19">
        <v>13.708038939093498</v>
      </c>
      <c r="W9" s="26">
        <v>14.128889902597447</v>
      </c>
      <c r="X9" s="19">
        <v>14.128889902597447</v>
      </c>
      <c r="Y9" s="19">
        <v>14.128889902597447</v>
      </c>
      <c r="Z9" s="19">
        <v>14.128889902597447</v>
      </c>
      <c r="AA9" s="19">
        <v>14.128889902597447</v>
      </c>
      <c r="AB9" s="19">
        <v>14.128889902597447</v>
      </c>
      <c r="AC9" s="19">
        <v>14.128889902597447</v>
      </c>
      <c r="AD9" s="19">
        <v>14.128889902597447</v>
      </c>
      <c r="AE9" s="19">
        <v>14.128889902597447</v>
      </c>
      <c r="AF9" s="19">
        <v>14.128889902597447</v>
      </c>
      <c r="AG9" s="19">
        <v>14.128889902597447</v>
      </c>
      <c r="AH9" s="19">
        <v>14.128889902597447</v>
      </c>
      <c r="AI9" s="19">
        <v>14.128889902597447</v>
      </c>
      <c r="AJ9" s="19">
        <v>14.128889902597447</v>
      </c>
      <c r="AK9" s="19">
        <v>14.128889902597447</v>
      </c>
      <c r="AL9" s="19">
        <v>14.128889902597447</v>
      </c>
      <c r="AM9" s="19">
        <v>14.128889902597447</v>
      </c>
      <c r="AN9" s="19">
        <v>14.128889902597447</v>
      </c>
      <c r="AO9" s="19">
        <v>14.128889902597447</v>
      </c>
      <c r="AP9" s="19">
        <v>14.128889902597447</v>
      </c>
      <c r="AQ9" s="19">
        <v>14.128889902597447</v>
      </c>
      <c r="AR9" s="19">
        <v>14.128889902597447</v>
      </c>
      <c r="AS9" s="19">
        <v>14.128889902597447</v>
      </c>
      <c r="AT9" s="19">
        <v>14.128889902597447</v>
      </c>
      <c r="AU9" s="19">
        <v>14.128889902597447</v>
      </c>
      <c r="AV9" s="19">
        <v>14.128889902597447</v>
      </c>
      <c r="AW9" s="19">
        <v>14.128889902597447</v>
      </c>
      <c r="AX9" s="19">
        <v>14.128889902597447</v>
      </c>
      <c r="AY9" s="19">
        <v>14.128889902597447</v>
      </c>
      <c r="AZ9" s="19">
        <v>14.128889902597447</v>
      </c>
      <c r="BA9" s="19">
        <v>14.128889902597447</v>
      </c>
      <c r="BB9" s="19">
        <v>14.128889902597447</v>
      </c>
      <c r="BC9" s="19">
        <v>14.128889902597447</v>
      </c>
      <c r="BD9" s="19">
        <v>14.128889902597447</v>
      </c>
      <c r="BE9" s="19">
        <v>14.128889902597447</v>
      </c>
      <c r="BF9" s="19">
        <v>14.128889902597447</v>
      </c>
      <c r="BG9" s="19">
        <v>14.128889902597447</v>
      </c>
      <c r="BH9" s="19">
        <v>14.128889902597447</v>
      </c>
      <c r="BI9" s="19">
        <v>14.128889902597447</v>
      </c>
      <c r="BJ9" s="19">
        <v>14.128889902597447</v>
      </c>
      <c r="BK9" s="19">
        <v>14.128889902597447</v>
      </c>
      <c r="BL9" s="19">
        <v>14.128889902597447</v>
      </c>
      <c r="BM9" s="19">
        <v>14.128889902597447</v>
      </c>
      <c r="BN9" s="19">
        <v>14.128889902597447</v>
      </c>
      <c r="BO9" s="19">
        <v>14.128889902597447</v>
      </c>
      <c r="BP9" s="19">
        <v>14.128889902597447</v>
      </c>
      <c r="BQ9" s="19">
        <v>14.128889902597447</v>
      </c>
      <c r="BR9" s="19">
        <v>14.128889902597447</v>
      </c>
      <c r="BS9" s="19">
        <v>14.128889902597447</v>
      </c>
      <c r="BT9" s="19">
        <v>14.128889902597447</v>
      </c>
      <c r="BU9" s="19">
        <v>14.128889902597447</v>
      </c>
      <c r="BV9" s="19">
        <v>14.128889902597447</v>
      </c>
      <c r="BW9" s="19">
        <v>14.128889902597447</v>
      </c>
      <c r="BX9" s="19">
        <v>14.128889902597447</v>
      </c>
      <c r="BY9" s="19">
        <v>14.128889902597447</v>
      </c>
      <c r="BZ9" s="19">
        <v>14.128889902597447</v>
      </c>
      <c r="CA9" s="19">
        <v>14.128889902597447</v>
      </c>
      <c r="CB9" s="19">
        <v>14.128889902597447</v>
      </c>
      <c r="CC9" s="19">
        <v>14.128889902597447</v>
      </c>
      <c r="CD9" s="19">
        <v>14.128889902597447</v>
      </c>
      <c r="CE9" s="19">
        <v>14.128889902597447</v>
      </c>
      <c r="CF9" s="19">
        <v>14.128889902597447</v>
      </c>
      <c r="CG9" s="19">
        <v>14.128889902597447</v>
      </c>
      <c r="CH9" s="19">
        <v>14.128889902597447</v>
      </c>
      <c r="CI9" s="19">
        <v>14.128889902597447</v>
      </c>
      <c r="CJ9" s="19">
        <v>14.128889902597447</v>
      </c>
      <c r="CK9" s="19">
        <v>14.128889902597447</v>
      </c>
      <c r="CL9" s="19">
        <v>14.128889902597447</v>
      </c>
      <c r="CM9" s="19">
        <v>14.128889902597447</v>
      </c>
      <c r="CN9" s="19">
        <v>14.128889902597447</v>
      </c>
      <c r="CO9" s="19">
        <v>14.128889902597447</v>
      </c>
    </row>
    <row r="10" spans="1:93" x14ac:dyDescent="0.2">
      <c r="A10" s="7"/>
      <c r="B10" s="21"/>
      <c r="C10" s="19"/>
      <c r="D10" s="19"/>
      <c r="E10" s="19"/>
      <c r="F10" s="19"/>
      <c r="G10" s="19"/>
      <c r="H10" s="19"/>
      <c r="I10" s="19"/>
      <c r="J10" s="19"/>
      <c r="K10" s="19"/>
      <c r="L10" s="19"/>
      <c r="M10" s="19"/>
      <c r="N10" s="19"/>
      <c r="O10" s="19"/>
      <c r="P10" s="19"/>
      <c r="Q10" s="19"/>
      <c r="R10" s="19"/>
      <c r="S10" s="19"/>
      <c r="T10" s="19"/>
      <c r="U10" s="19"/>
      <c r="V10" s="19"/>
      <c r="W10" s="26"/>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row>
    <row r="11" spans="1:93" x14ac:dyDescent="0.2">
      <c r="A11" s="4" t="s">
        <v>32</v>
      </c>
      <c r="B11" s="29" t="s">
        <v>26</v>
      </c>
      <c r="C11" s="19">
        <v>4.16660008250168</v>
      </c>
      <c r="D11" s="19">
        <v>4.3319405525409671</v>
      </c>
      <c r="E11" s="19">
        <v>4.5215708549946649</v>
      </c>
      <c r="F11" s="19">
        <v>4.7414706927047234</v>
      </c>
      <c r="G11" s="19">
        <v>5.0353338169772082</v>
      </c>
      <c r="H11" s="19">
        <v>5.2054252837950328</v>
      </c>
      <c r="I11" s="19">
        <v>5.3419803027643571</v>
      </c>
      <c r="J11" s="19">
        <v>5.5398260712499079</v>
      </c>
      <c r="K11" s="19">
        <v>5.7401774364137932</v>
      </c>
      <c r="L11" s="19">
        <v>5.9249170068895829</v>
      </c>
      <c r="M11" s="19">
        <v>6.198412521240285</v>
      </c>
      <c r="N11" s="19">
        <v>6.0466793685464237</v>
      </c>
      <c r="O11" s="19">
        <v>6.0821913830066894</v>
      </c>
      <c r="P11" s="19">
        <v>6.1087410708867527</v>
      </c>
      <c r="Q11" s="19">
        <v>6.137025402621048</v>
      </c>
      <c r="R11" s="19">
        <v>6.1629005067800193</v>
      </c>
      <c r="S11" s="19">
        <v>6.1859809069516158</v>
      </c>
      <c r="T11" s="19">
        <v>6.2095431526382789</v>
      </c>
      <c r="U11" s="19">
        <v>6.2297324797194875</v>
      </c>
      <c r="V11" s="19">
        <v>6.2484762702555017</v>
      </c>
      <c r="W11" s="26">
        <v>6.2662563697613898</v>
      </c>
      <c r="X11" s="26">
        <v>6.2662563697613898</v>
      </c>
      <c r="Y11" s="26">
        <v>6.2662563697613898</v>
      </c>
      <c r="Z11" s="26">
        <v>6.2662563697613898</v>
      </c>
      <c r="AA11" s="26">
        <v>6.2662563697613898</v>
      </c>
      <c r="AB11" s="26">
        <v>6.2662563697613898</v>
      </c>
      <c r="AC11" s="26">
        <v>6.2662563697613898</v>
      </c>
      <c r="AD11" s="26">
        <v>6.2662563697613898</v>
      </c>
      <c r="AE11" s="26">
        <v>6.2662563697613898</v>
      </c>
      <c r="AF11" s="26">
        <v>6.2662563697613898</v>
      </c>
      <c r="AG11" s="26">
        <v>6.2662563697613898</v>
      </c>
      <c r="AH11" s="26">
        <v>6.2662563697613898</v>
      </c>
      <c r="AI11" s="26">
        <v>6.2662563697613898</v>
      </c>
      <c r="AJ11" s="26">
        <v>6.2662563697613898</v>
      </c>
      <c r="AK11" s="26">
        <v>6.2662563697613898</v>
      </c>
      <c r="AL11" s="26">
        <v>6.2662563697613898</v>
      </c>
      <c r="AM11" s="26">
        <v>6.2662563697613898</v>
      </c>
      <c r="AN11" s="26">
        <v>6.2662563697613898</v>
      </c>
      <c r="AO11" s="26">
        <v>6.2662563697613898</v>
      </c>
      <c r="AP11" s="26">
        <v>6.2662563697613898</v>
      </c>
      <c r="AQ11" s="26">
        <v>6.2662563697613898</v>
      </c>
      <c r="AR11" s="26">
        <v>6.2662563697613898</v>
      </c>
      <c r="AS11" s="26">
        <v>6.2662563697613898</v>
      </c>
      <c r="AT11" s="26">
        <v>6.2662563697613898</v>
      </c>
      <c r="AU11" s="26">
        <v>6.2662563697613898</v>
      </c>
      <c r="AV11" s="26">
        <v>6.2662563697613898</v>
      </c>
      <c r="AW11" s="26">
        <v>6.2662563697613898</v>
      </c>
      <c r="AX11" s="26">
        <v>6.2662563697613898</v>
      </c>
      <c r="AY11" s="26">
        <v>6.2662563697613898</v>
      </c>
      <c r="AZ11" s="26">
        <v>6.2662563697613898</v>
      </c>
      <c r="BA11" s="26">
        <v>6.2662563697613898</v>
      </c>
      <c r="BB11" s="26">
        <v>6.2662563697613898</v>
      </c>
      <c r="BC11" s="26">
        <v>6.2662563697613898</v>
      </c>
      <c r="BD11" s="26">
        <v>6.2662563697613898</v>
      </c>
      <c r="BE11" s="26">
        <v>6.2662563697613898</v>
      </c>
      <c r="BF11" s="26">
        <v>6.2662563697613898</v>
      </c>
      <c r="BG11" s="26">
        <v>6.2662563697613898</v>
      </c>
      <c r="BH11" s="26">
        <v>6.2662563697613898</v>
      </c>
      <c r="BI11" s="26">
        <v>6.2662563697613898</v>
      </c>
      <c r="BJ11" s="26">
        <v>6.2662563697613898</v>
      </c>
      <c r="BK11" s="26">
        <v>6.2662563697613898</v>
      </c>
      <c r="BL11" s="26">
        <v>6.2662563697613898</v>
      </c>
      <c r="BM11" s="26">
        <v>6.2662563697613898</v>
      </c>
      <c r="BN11" s="26">
        <v>6.2662563697613898</v>
      </c>
      <c r="BO11" s="26">
        <v>6.2662563697613898</v>
      </c>
      <c r="BP11" s="26">
        <v>6.2662563697613898</v>
      </c>
      <c r="BQ11" s="26">
        <v>6.2662563697613898</v>
      </c>
      <c r="BR11" s="26">
        <v>6.2662563697613898</v>
      </c>
      <c r="BS11" s="26">
        <v>6.2662563697613898</v>
      </c>
      <c r="BT11" s="26">
        <v>6.2662563697613898</v>
      </c>
      <c r="BU11" s="26">
        <v>6.2662563697613898</v>
      </c>
      <c r="BV11" s="26">
        <v>6.2662563697613898</v>
      </c>
      <c r="BW11" s="26">
        <v>6.2662563697613898</v>
      </c>
      <c r="BX11" s="26">
        <v>6.2662563697613898</v>
      </c>
      <c r="BY11" s="26">
        <v>6.2662563697613898</v>
      </c>
      <c r="BZ11" s="26">
        <v>6.2662563697613898</v>
      </c>
      <c r="CA11" s="26">
        <v>6.2662563697613898</v>
      </c>
      <c r="CB11" s="26">
        <v>6.2662563697613898</v>
      </c>
      <c r="CC11" s="26">
        <v>6.2662563697613898</v>
      </c>
      <c r="CD11" s="26">
        <v>6.2662563697613898</v>
      </c>
      <c r="CE11" s="26">
        <v>6.2662563697613898</v>
      </c>
      <c r="CF11" s="26">
        <v>6.2662563697613898</v>
      </c>
      <c r="CG11" s="26">
        <v>6.2662563697613898</v>
      </c>
      <c r="CH11" s="26">
        <v>6.2662563697613898</v>
      </c>
      <c r="CI11" s="26">
        <v>6.2662563697613898</v>
      </c>
      <c r="CJ11" s="26">
        <v>6.2662563697613898</v>
      </c>
      <c r="CK11" s="26">
        <v>6.2662563697613898</v>
      </c>
      <c r="CL11" s="26">
        <v>6.2662563697613898</v>
      </c>
      <c r="CM11" s="26">
        <v>6.2662563697613898</v>
      </c>
      <c r="CN11" s="26">
        <v>6.2662563697613898</v>
      </c>
      <c r="CO11" s="26">
        <v>6.2662563697613898</v>
      </c>
    </row>
    <row r="12" spans="1:93" x14ac:dyDescent="0.2">
      <c r="A12" s="4" t="s">
        <v>33</v>
      </c>
      <c r="B12" s="29" t="s">
        <v>26</v>
      </c>
      <c r="C12" s="19">
        <v>3.3489431831145873</v>
      </c>
      <c r="D12" s="19">
        <v>3.4601504576278148</v>
      </c>
      <c r="E12" s="19">
        <v>3.5853134448311073</v>
      </c>
      <c r="F12" s="19">
        <v>3.7186956178579207</v>
      </c>
      <c r="G12" s="19">
        <v>3.8651143915354074</v>
      </c>
      <c r="H12" s="19">
        <v>4.0235819845338794</v>
      </c>
      <c r="I12" s="19">
        <v>4.1914731170626585</v>
      </c>
      <c r="J12" s="19">
        <v>4.3762357659926758</v>
      </c>
      <c r="K12" s="19">
        <v>4.5875364544968376</v>
      </c>
      <c r="L12" s="19">
        <v>4.8294161061966037</v>
      </c>
      <c r="M12" s="19">
        <v>5.1049278633837449</v>
      </c>
      <c r="N12" s="19">
        <v>5.1175260370271243</v>
      </c>
      <c r="O12" s="19">
        <v>5.1312863063524903</v>
      </c>
      <c r="P12" s="19">
        <v>5.1349786012693555</v>
      </c>
      <c r="Q12" s="19">
        <v>5.1408366199571995</v>
      </c>
      <c r="R12" s="19">
        <v>5.1445130681147635</v>
      </c>
      <c r="S12" s="19">
        <v>5.1452948415735564</v>
      </c>
      <c r="T12" s="19">
        <v>5.1475503636472348</v>
      </c>
      <c r="U12" s="19">
        <v>5.1467210499105418</v>
      </c>
      <c r="V12" s="19">
        <v>5.1450677046902573</v>
      </c>
      <c r="W12" s="26">
        <v>5.1427540778324801</v>
      </c>
      <c r="X12" s="26">
        <v>5.1427540778324801</v>
      </c>
      <c r="Y12" s="26">
        <v>5.1427540778324801</v>
      </c>
      <c r="Z12" s="26">
        <v>5.1427540778324801</v>
      </c>
      <c r="AA12" s="26">
        <v>5.1427540778324801</v>
      </c>
      <c r="AB12" s="26">
        <v>5.1427540778324801</v>
      </c>
      <c r="AC12" s="26">
        <v>5.1427540778324801</v>
      </c>
      <c r="AD12" s="26">
        <v>5.1427540778324801</v>
      </c>
      <c r="AE12" s="26">
        <v>5.1427540778324801</v>
      </c>
      <c r="AF12" s="26">
        <v>5.1427540778324801</v>
      </c>
      <c r="AG12" s="26">
        <v>5.1427540778324801</v>
      </c>
      <c r="AH12" s="26">
        <v>5.1427540778324801</v>
      </c>
      <c r="AI12" s="26">
        <v>5.1427540778324801</v>
      </c>
      <c r="AJ12" s="26">
        <v>5.1427540778324801</v>
      </c>
      <c r="AK12" s="26">
        <v>5.1427540778324801</v>
      </c>
      <c r="AL12" s="26">
        <v>5.1427540778324801</v>
      </c>
      <c r="AM12" s="26">
        <v>5.1427540778324801</v>
      </c>
      <c r="AN12" s="26">
        <v>5.1427540778324801</v>
      </c>
      <c r="AO12" s="26">
        <v>5.1427540778324801</v>
      </c>
      <c r="AP12" s="26">
        <v>5.1427540778324801</v>
      </c>
      <c r="AQ12" s="26">
        <v>5.1427540778324801</v>
      </c>
      <c r="AR12" s="26">
        <v>5.1427540778324801</v>
      </c>
      <c r="AS12" s="26">
        <v>5.1427540778324801</v>
      </c>
      <c r="AT12" s="26">
        <v>5.1427540778324801</v>
      </c>
      <c r="AU12" s="26">
        <v>5.1427540778324801</v>
      </c>
      <c r="AV12" s="26">
        <v>5.1427540778324801</v>
      </c>
      <c r="AW12" s="26">
        <v>5.1427540778324801</v>
      </c>
      <c r="AX12" s="26">
        <v>5.1427540778324801</v>
      </c>
      <c r="AY12" s="26">
        <v>5.1427540778324801</v>
      </c>
      <c r="AZ12" s="26">
        <v>5.1427540778324801</v>
      </c>
      <c r="BA12" s="26">
        <v>5.1427540778324801</v>
      </c>
      <c r="BB12" s="26">
        <v>5.1427540778324801</v>
      </c>
      <c r="BC12" s="26">
        <v>5.1427540778324801</v>
      </c>
      <c r="BD12" s="26">
        <v>5.1427540778324801</v>
      </c>
      <c r="BE12" s="26">
        <v>5.1427540778324801</v>
      </c>
      <c r="BF12" s="26">
        <v>5.1427540778324801</v>
      </c>
      <c r="BG12" s="26">
        <v>5.1427540778324801</v>
      </c>
      <c r="BH12" s="26">
        <v>5.1427540778324801</v>
      </c>
      <c r="BI12" s="26">
        <v>5.1427540778324801</v>
      </c>
      <c r="BJ12" s="26">
        <v>5.1427540778324801</v>
      </c>
      <c r="BK12" s="26">
        <v>5.1427540778324801</v>
      </c>
      <c r="BL12" s="26">
        <v>5.1427540778324801</v>
      </c>
      <c r="BM12" s="26">
        <v>5.1427540778324801</v>
      </c>
      <c r="BN12" s="26">
        <v>5.1427540778324801</v>
      </c>
      <c r="BO12" s="26">
        <v>5.1427540778324801</v>
      </c>
      <c r="BP12" s="26">
        <v>5.1427540778324801</v>
      </c>
      <c r="BQ12" s="26">
        <v>5.1427540778324801</v>
      </c>
      <c r="BR12" s="26">
        <v>5.1427540778324801</v>
      </c>
      <c r="BS12" s="26">
        <v>5.1427540778324801</v>
      </c>
      <c r="BT12" s="26">
        <v>5.1427540778324801</v>
      </c>
      <c r="BU12" s="26">
        <v>5.1427540778324801</v>
      </c>
      <c r="BV12" s="26">
        <v>5.1427540778324801</v>
      </c>
      <c r="BW12" s="26">
        <v>5.1427540778324801</v>
      </c>
      <c r="BX12" s="26">
        <v>5.1427540778324801</v>
      </c>
      <c r="BY12" s="26">
        <v>5.1427540778324801</v>
      </c>
      <c r="BZ12" s="26">
        <v>5.1427540778324801</v>
      </c>
      <c r="CA12" s="26">
        <v>5.1427540778324801</v>
      </c>
      <c r="CB12" s="26">
        <v>5.1427540778324801</v>
      </c>
      <c r="CC12" s="26">
        <v>5.1427540778324801</v>
      </c>
      <c r="CD12" s="26">
        <v>5.1427540778324801</v>
      </c>
      <c r="CE12" s="26">
        <v>5.1427540778324801</v>
      </c>
      <c r="CF12" s="26">
        <v>5.1427540778324801</v>
      </c>
      <c r="CG12" s="26">
        <v>5.1427540778324801</v>
      </c>
      <c r="CH12" s="26">
        <v>5.1427540778324801</v>
      </c>
      <c r="CI12" s="26">
        <v>5.1427540778324801</v>
      </c>
      <c r="CJ12" s="26">
        <v>5.1427540778324801</v>
      </c>
      <c r="CK12" s="26">
        <v>5.1427540778324801</v>
      </c>
      <c r="CL12" s="26">
        <v>5.1427540778324801</v>
      </c>
      <c r="CM12" s="26">
        <v>5.1427540778324801</v>
      </c>
      <c r="CN12" s="26">
        <v>5.1427540778324801</v>
      </c>
      <c r="CO12" s="26">
        <v>5.1427540778324801</v>
      </c>
    </row>
    <row r="13" spans="1:93" x14ac:dyDescent="0.2">
      <c r="A13" s="4" t="s">
        <v>34</v>
      </c>
      <c r="B13" s="29" t="s">
        <v>26</v>
      </c>
      <c r="C13" s="19">
        <v>3.0548957470547959</v>
      </c>
      <c r="D13" s="19">
        <v>3.1563386833413594</v>
      </c>
      <c r="E13" s="19">
        <v>3.2705119781359304</v>
      </c>
      <c r="F13" s="19">
        <v>3.3921827891449081</v>
      </c>
      <c r="G13" s="19">
        <v>3.5257455474656809</v>
      </c>
      <c r="H13" s="19">
        <v>3.6702992019850798</v>
      </c>
      <c r="I13" s="19">
        <v>3.823448980493231</v>
      </c>
      <c r="J13" s="19">
        <v>3.9919889047525476</v>
      </c>
      <c r="K13" s="19">
        <v>4.1847367476887136</v>
      </c>
      <c r="L13" s="19">
        <v>4.405378627491972</v>
      </c>
      <c r="M13" s="19">
        <v>4.6566996112393975</v>
      </c>
      <c r="N13" s="19">
        <v>4.66819162677369</v>
      </c>
      <c r="O13" s="19">
        <v>4.6807437024411236</v>
      </c>
      <c r="P13" s="19">
        <v>4.6841118025914259</v>
      </c>
      <c r="Q13" s="19">
        <v>4.6894554693534936</v>
      </c>
      <c r="R13" s="19">
        <v>4.6928091141383437</v>
      </c>
      <c r="S13" s="19">
        <v>4.6935222455006391</v>
      </c>
      <c r="T13" s="19">
        <v>4.6955797258499654</v>
      </c>
      <c r="U13" s="19">
        <v>4.6948232283913134</v>
      </c>
      <c r="V13" s="19">
        <v>4.6933150519291607</v>
      </c>
      <c r="W13" s="26">
        <v>4.6912045685731778</v>
      </c>
      <c r="X13" s="26">
        <v>4.6912045685731778</v>
      </c>
      <c r="Y13" s="26">
        <v>4.6912045685731778</v>
      </c>
      <c r="Z13" s="26">
        <v>4.6912045685731778</v>
      </c>
      <c r="AA13" s="26">
        <v>4.6912045685731778</v>
      </c>
      <c r="AB13" s="26">
        <v>4.6912045685731778</v>
      </c>
      <c r="AC13" s="26">
        <v>4.6912045685731778</v>
      </c>
      <c r="AD13" s="26">
        <v>4.6912045685731778</v>
      </c>
      <c r="AE13" s="26">
        <v>4.6912045685731778</v>
      </c>
      <c r="AF13" s="26">
        <v>4.6912045685731778</v>
      </c>
      <c r="AG13" s="26">
        <v>4.6912045685731778</v>
      </c>
      <c r="AH13" s="26">
        <v>4.6912045685731778</v>
      </c>
      <c r="AI13" s="26">
        <v>4.6912045685731778</v>
      </c>
      <c r="AJ13" s="26">
        <v>4.6912045685731778</v>
      </c>
      <c r="AK13" s="26">
        <v>4.6912045685731778</v>
      </c>
      <c r="AL13" s="26">
        <v>4.6912045685731778</v>
      </c>
      <c r="AM13" s="26">
        <v>4.6912045685731778</v>
      </c>
      <c r="AN13" s="26">
        <v>4.6912045685731778</v>
      </c>
      <c r="AO13" s="26">
        <v>4.6912045685731778</v>
      </c>
      <c r="AP13" s="26">
        <v>4.6912045685731778</v>
      </c>
      <c r="AQ13" s="26">
        <v>4.6912045685731778</v>
      </c>
      <c r="AR13" s="26">
        <v>4.6912045685731778</v>
      </c>
      <c r="AS13" s="26">
        <v>4.6912045685731778</v>
      </c>
      <c r="AT13" s="26">
        <v>4.6912045685731778</v>
      </c>
      <c r="AU13" s="26">
        <v>4.6912045685731778</v>
      </c>
      <c r="AV13" s="26">
        <v>4.6912045685731778</v>
      </c>
      <c r="AW13" s="26">
        <v>4.6912045685731778</v>
      </c>
      <c r="AX13" s="26">
        <v>4.6912045685731778</v>
      </c>
      <c r="AY13" s="26">
        <v>4.6912045685731778</v>
      </c>
      <c r="AZ13" s="26">
        <v>4.6912045685731778</v>
      </c>
      <c r="BA13" s="26">
        <v>4.6912045685731778</v>
      </c>
      <c r="BB13" s="26">
        <v>4.6912045685731778</v>
      </c>
      <c r="BC13" s="26">
        <v>4.6912045685731778</v>
      </c>
      <c r="BD13" s="26">
        <v>4.6912045685731778</v>
      </c>
      <c r="BE13" s="26">
        <v>4.6912045685731778</v>
      </c>
      <c r="BF13" s="26">
        <v>4.6912045685731778</v>
      </c>
      <c r="BG13" s="26">
        <v>4.6912045685731778</v>
      </c>
      <c r="BH13" s="26">
        <v>4.6912045685731778</v>
      </c>
      <c r="BI13" s="26">
        <v>4.6912045685731778</v>
      </c>
      <c r="BJ13" s="26">
        <v>4.6912045685731778</v>
      </c>
      <c r="BK13" s="26">
        <v>4.6912045685731778</v>
      </c>
      <c r="BL13" s="26">
        <v>4.6912045685731778</v>
      </c>
      <c r="BM13" s="26">
        <v>4.6912045685731778</v>
      </c>
      <c r="BN13" s="26">
        <v>4.6912045685731778</v>
      </c>
      <c r="BO13" s="26">
        <v>4.6912045685731778</v>
      </c>
      <c r="BP13" s="26">
        <v>4.6912045685731778</v>
      </c>
      <c r="BQ13" s="26">
        <v>4.6912045685731778</v>
      </c>
      <c r="BR13" s="26">
        <v>4.6912045685731778</v>
      </c>
      <c r="BS13" s="26">
        <v>4.6912045685731778</v>
      </c>
      <c r="BT13" s="26">
        <v>4.6912045685731778</v>
      </c>
      <c r="BU13" s="26">
        <v>4.6912045685731778</v>
      </c>
      <c r="BV13" s="26">
        <v>4.6912045685731778</v>
      </c>
      <c r="BW13" s="26">
        <v>4.6912045685731778</v>
      </c>
      <c r="BX13" s="26">
        <v>4.6912045685731778</v>
      </c>
      <c r="BY13" s="26">
        <v>4.6912045685731778</v>
      </c>
      <c r="BZ13" s="26">
        <v>4.6912045685731778</v>
      </c>
      <c r="CA13" s="26">
        <v>4.6912045685731778</v>
      </c>
      <c r="CB13" s="26">
        <v>4.6912045685731778</v>
      </c>
      <c r="CC13" s="26">
        <v>4.6912045685731778</v>
      </c>
      <c r="CD13" s="26">
        <v>4.6912045685731778</v>
      </c>
      <c r="CE13" s="26">
        <v>4.6912045685731778</v>
      </c>
      <c r="CF13" s="26">
        <v>4.6912045685731778</v>
      </c>
      <c r="CG13" s="26">
        <v>4.6912045685731778</v>
      </c>
      <c r="CH13" s="26">
        <v>4.6912045685731778</v>
      </c>
      <c r="CI13" s="26">
        <v>4.6912045685731778</v>
      </c>
      <c r="CJ13" s="26">
        <v>4.6912045685731778</v>
      </c>
      <c r="CK13" s="26">
        <v>4.6912045685731778</v>
      </c>
      <c r="CL13" s="26">
        <v>4.6912045685731778</v>
      </c>
      <c r="CM13" s="26">
        <v>4.6912045685731778</v>
      </c>
      <c r="CN13" s="26">
        <v>4.6912045685731778</v>
      </c>
      <c r="CO13" s="26">
        <v>4.6912045685731778</v>
      </c>
    </row>
    <row r="14" spans="1:93" s="6" customFormat="1" x14ac:dyDescent="0.2">
      <c r="A14" s="4" t="s">
        <v>35</v>
      </c>
      <c r="B14" s="29" t="s">
        <v>26</v>
      </c>
      <c r="C14" s="19">
        <v>2.5629333401868251</v>
      </c>
      <c r="D14" s="19">
        <v>2.6634503415277293</v>
      </c>
      <c r="E14" s="19">
        <v>2.7639673428686331</v>
      </c>
      <c r="F14" s="19">
        <v>2.8644843442095369</v>
      </c>
      <c r="G14" s="19">
        <v>2.9650013455504403</v>
      </c>
      <c r="H14" s="19">
        <v>3.0655147609735969</v>
      </c>
      <c r="I14" s="19">
        <v>3.1660317623145007</v>
      </c>
      <c r="J14" s="19">
        <v>3.2665487636554054</v>
      </c>
      <c r="K14" s="19">
        <v>3.3670657649963083</v>
      </c>
      <c r="L14" s="19">
        <v>3.4675827663372116</v>
      </c>
      <c r="M14" s="19">
        <v>3.5680961817603682</v>
      </c>
      <c r="N14" s="19">
        <v>3.5745473887647465</v>
      </c>
      <c r="O14" s="19">
        <v>3.5809985957691239</v>
      </c>
      <c r="P14" s="19">
        <v>3.5874498027735013</v>
      </c>
      <c r="Q14" s="19">
        <v>3.5939010097778792</v>
      </c>
      <c r="R14" s="19">
        <v>3.6003522167822566</v>
      </c>
      <c r="S14" s="19">
        <v>3.6068034237866349</v>
      </c>
      <c r="T14" s="19">
        <v>3.6132546307910127</v>
      </c>
      <c r="U14" s="19">
        <v>3.6197058377953901</v>
      </c>
      <c r="V14" s="19">
        <v>3.6261570447997675</v>
      </c>
      <c r="W14" s="26">
        <v>3.6326082518041458</v>
      </c>
      <c r="X14" s="26">
        <v>3.6326082518041458</v>
      </c>
      <c r="Y14" s="26">
        <v>3.6326082518041458</v>
      </c>
      <c r="Z14" s="26">
        <v>3.6326082518041458</v>
      </c>
      <c r="AA14" s="26">
        <v>3.6326082518041458</v>
      </c>
      <c r="AB14" s="26">
        <v>3.6326082518041458</v>
      </c>
      <c r="AC14" s="26">
        <v>3.6326082518041458</v>
      </c>
      <c r="AD14" s="26">
        <v>3.6326082518041458</v>
      </c>
      <c r="AE14" s="26">
        <v>3.6326082518041458</v>
      </c>
      <c r="AF14" s="26">
        <v>3.6326082518041458</v>
      </c>
      <c r="AG14" s="26">
        <v>3.6326082518041458</v>
      </c>
      <c r="AH14" s="26">
        <v>3.6326082518041458</v>
      </c>
      <c r="AI14" s="26">
        <v>3.6326082518041458</v>
      </c>
      <c r="AJ14" s="26">
        <v>3.6326082518041458</v>
      </c>
      <c r="AK14" s="26">
        <v>3.6326082518041458</v>
      </c>
      <c r="AL14" s="26">
        <v>3.6326082518041458</v>
      </c>
      <c r="AM14" s="26">
        <v>3.6326082518041458</v>
      </c>
      <c r="AN14" s="26">
        <v>3.6326082518041458</v>
      </c>
      <c r="AO14" s="26">
        <v>3.6326082518041458</v>
      </c>
      <c r="AP14" s="26">
        <v>3.6326082518041458</v>
      </c>
      <c r="AQ14" s="26">
        <v>3.6326082518041458</v>
      </c>
      <c r="AR14" s="26">
        <v>3.6326082518041458</v>
      </c>
      <c r="AS14" s="26">
        <v>3.6326082518041458</v>
      </c>
      <c r="AT14" s="26">
        <v>3.6326082518041458</v>
      </c>
      <c r="AU14" s="26">
        <v>3.6326082518041458</v>
      </c>
      <c r="AV14" s="26">
        <v>3.6326082518041458</v>
      </c>
      <c r="AW14" s="26">
        <v>3.6326082518041458</v>
      </c>
      <c r="AX14" s="26">
        <v>3.6326082518041458</v>
      </c>
      <c r="AY14" s="26">
        <v>3.6326082518041458</v>
      </c>
      <c r="AZ14" s="26">
        <v>3.6326082518041458</v>
      </c>
      <c r="BA14" s="26">
        <v>3.6326082518041458</v>
      </c>
      <c r="BB14" s="26">
        <v>3.6326082518041458</v>
      </c>
      <c r="BC14" s="26">
        <v>3.6326082518041458</v>
      </c>
      <c r="BD14" s="26">
        <v>3.6326082518041458</v>
      </c>
      <c r="BE14" s="26">
        <v>3.6326082518041458</v>
      </c>
      <c r="BF14" s="26">
        <v>3.6326082518041458</v>
      </c>
      <c r="BG14" s="26">
        <v>3.6326082518041458</v>
      </c>
      <c r="BH14" s="26">
        <v>3.6326082518041458</v>
      </c>
      <c r="BI14" s="26">
        <v>3.6326082518041458</v>
      </c>
      <c r="BJ14" s="26">
        <v>3.6326082518041458</v>
      </c>
      <c r="BK14" s="26">
        <v>3.6326082518041458</v>
      </c>
      <c r="BL14" s="26">
        <v>3.6326082518041458</v>
      </c>
      <c r="BM14" s="26">
        <v>3.6326082518041458</v>
      </c>
      <c r="BN14" s="26">
        <v>3.6326082518041458</v>
      </c>
      <c r="BO14" s="26">
        <v>3.6326082518041458</v>
      </c>
      <c r="BP14" s="26">
        <v>3.6326082518041458</v>
      </c>
      <c r="BQ14" s="26">
        <v>3.6326082518041458</v>
      </c>
      <c r="BR14" s="26">
        <v>3.6326082518041458</v>
      </c>
      <c r="BS14" s="26">
        <v>3.6326082518041458</v>
      </c>
      <c r="BT14" s="26">
        <v>3.6326082518041458</v>
      </c>
      <c r="BU14" s="26">
        <v>3.6326082518041458</v>
      </c>
      <c r="BV14" s="26">
        <v>3.6326082518041458</v>
      </c>
      <c r="BW14" s="26">
        <v>3.6326082518041458</v>
      </c>
      <c r="BX14" s="26">
        <v>3.6326082518041458</v>
      </c>
      <c r="BY14" s="26">
        <v>3.6326082518041458</v>
      </c>
      <c r="BZ14" s="26">
        <v>3.6326082518041458</v>
      </c>
      <c r="CA14" s="26">
        <v>3.6326082518041458</v>
      </c>
      <c r="CB14" s="26">
        <v>3.6326082518041458</v>
      </c>
      <c r="CC14" s="26">
        <v>3.6326082518041458</v>
      </c>
      <c r="CD14" s="26">
        <v>3.6326082518041458</v>
      </c>
      <c r="CE14" s="26">
        <v>3.6326082518041458</v>
      </c>
      <c r="CF14" s="26">
        <v>3.6326082518041458</v>
      </c>
      <c r="CG14" s="26">
        <v>3.6326082518041458</v>
      </c>
      <c r="CH14" s="26">
        <v>3.6326082518041458</v>
      </c>
      <c r="CI14" s="26">
        <v>3.6326082518041458</v>
      </c>
      <c r="CJ14" s="26">
        <v>3.6326082518041458</v>
      </c>
      <c r="CK14" s="26">
        <v>3.6326082518041458</v>
      </c>
      <c r="CL14" s="26">
        <v>3.6326082518041458</v>
      </c>
      <c r="CM14" s="26">
        <v>3.6326082518041458</v>
      </c>
      <c r="CN14" s="26">
        <v>3.6326082518041458</v>
      </c>
      <c r="CO14" s="26">
        <v>3.6326082518041458</v>
      </c>
    </row>
    <row r="15" spans="1:93" s="6" customFormat="1" x14ac:dyDescent="0.2">
      <c r="A15" s="4" t="s">
        <v>36</v>
      </c>
      <c r="B15" s="29" t="s">
        <v>26</v>
      </c>
      <c r="C15" s="19">
        <v>2.4644696574898872</v>
      </c>
      <c r="D15" s="19">
        <v>2.5595190740888931</v>
      </c>
      <c r="E15" s="19">
        <v>2.6546068640549132</v>
      </c>
      <c r="F15" s="19">
        <v>2.7497353590154745</v>
      </c>
      <c r="G15" s="19">
        <v>2.8449068957585602</v>
      </c>
      <c r="H15" s="19">
        <v>2.9401202492660636</v>
      </c>
      <c r="I15" s="19">
        <v>3.0353849919996376</v>
      </c>
      <c r="J15" s="19">
        <v>3.1306999915781373</v>
      </c>
      <c r="K15" s="19">
        <v>3.2260677658529922</v>
      </c>
      <c r="L15" s="19">
        <v>3.3214909070909107</v>
      </c>
      <c r="M15" s="19">
        <v>3.4169685052049004</v>
      </c>
      <c r="N15" s="19">
        <v>3.4184447055503484</v>
      </c>
      <c r="O15" s="19">
        <v>3.4199845844039571</v>
      </c>
      <c r="P15" s="19">
        <v>3.4215911172706859</v>
      </c>
      <c r="Q15" s="19">
        <v>3.4232673947394558</v>
      </c>
      <c r="R15" s="19">
        <v>3.4250166298081899</v>
      </c>
      <c r="S15" s="19">
        <v>3.4268421651749867</v>
      </c>
      <c r="T15" s="19">
        <v>3.42874748055943</v>
      </c>
      <c r="U15" s="19">
        <v>3.430736200107436</v>
      </c>
      <c r="V15" s="19">
        <v>3.4328120999249649</v>
      </c>
      <c r="W15" s="26">
        <v>3.4349791157798699</v>
      </c>
      <c r="X15" s="26">
        <v>3.4349791157798699</v>
      </c>
      <c r="Y15" s="26">
        <v>3.4349791157798699</v>
      </c>
      <c r="Z15" s="26">
        <v>3.4349791157798699</v>
      </c>
      <c r="AA15" s="26">
        <v>3.4349791157798699</v>
      </c>
      <c r="AB15" s="26">
        <v>3.4349791157798699</v>
      </c>
      <c r="AC15" s="26">
        <v>3.4349791157798699</v>
      </c>
      <c r="AD15" s="26">
        <v>3.4349791157798699</v>
      </c>
      <c r="AE15" s="26">
        <v>3.4349791157798699</v>
      </c>
      <c r="AF15" s="26">
        <v>3.4349791157798699</v>
      </c>
      <c r="AG15" s="26">
        <v>3.4349791157798699</v>
      </c>
      <c r="AH15" s="26">
        <v>3.4349791157798699</v>
      </c>
      <c r="AI15" s="26">
        <v>3.4349791157798699</v>
      </c>
      <c r="AJ15" s="26">
        <v>3.4349791157798699</v>
      </c>
      <c r="AK15" s="26">
        <v>3.4349791157798699</v>
      </c>
      <c r="AL15" s="26">
        <v>3.4349791157798699</v>
      </c>
      <c r="AM15" s="26">
        <v>3.4349791157798699</v>
      </c>
      <c r="AN15" s="26">
        <v>3.4349791157798699</v>
      </c>
      <c r="AO15" s="26">
        <v>3.4349791157798699</v>
      </c>
      <c r="AP15" s="26">
        <v>3.4349791157798699</v>
      </c>
      <c r="AQ15" s="26">
        <v>3.4349791157798699</v>
      </c>
      <c r="AR15" s="26">
        <v>3.4349791157798699</v>
      </c>
      <c r="AS15" s="26">
        <v>3.4349791157798699</v>
      </c>
      <c r="AT15" s="26">
        <v>3.4349791157798699</v>
      </c>
      <c r="AU15" s="26">
        <v>3.4349791157798699</v>
      </c>
      <c r="AV15" s="26">
        <v>3.4349791157798699</v>
      </c>
      <c r="AW15" s="26">
        <v>3.4349791157798699</v>
      </c>
      <c r="AX15" s="26">
        <v>3.4349791157798699</v>
      </c>
      <c r="AY15" s="26">
        <v>3.4349791157798699</v>
      </c>
      <c r="AZ15" s="26">
        <v>3.4349791157798699</v>
      </c>
      <c r="BA15" s="26">
        <v>3.4349791157798699</v>
      </c>
      <c r="BB15" s="26">
        <v>3.4349791157798699</v>
      </c>
      <c r="BC15" s="26">
        <v>3.4349791157798699</v>
      </c>
      <c r="BD15" s="26">
        <v>3.4349791157798699</v>
      </c>
      <c r="BE15" s="26">
        <v>3.4349791157798699</v>
      </c>
      <c r="BF15" s="26">
        <v>3.4349791157798699</v>
      </c>
      <c r="BG15" s="26">
        <v>3.4349791157798699</v>
      </c>
      <c r="BH15" s="26">
        <v>3.4349791157798699</v>
      </c>
      <c r="BI15" s="26">
        <v>3.4349791157798699</v>
      </c>
      <c r="BJ15" s="26">
        <v>3.4349791157798699</v>
      </c>
      <c r="BK15" s="26">
        <v>3.4349791157798699</v>
      </c>
      <c r="BL15" s="26">
        <v>3.4349791157798699</v>
      </c>
      <c r="BM15" s="26">
        <v>3.4349791157798699</v>
      </c>
      <c r="BN15" s="26">
        <v>3.4349791157798699</v>
      </c>
      <c r="BO15" s="26">
        <v>3.4349791157798699</v>
      </c>
      <c r="BP15" s="26">
        <v>3.4349791157798699</v>
      </c>
      <c r="BQ15" s="26">
        <v>3.4349791157798699</v>
      </c>
      <c r="BR15" s="26">
        <v>3.4349791157798699</v>
      </c>
      <c r="BS15" s="26">
        <v>3.4349791157798699</v>
      </c>
      <c r="BT15" s="26">
        <v>3.4349791157798699</v>
      </c>
      <c r="BU15" s="26">
        <v>3.4349791157798699</v>
      </c>
      <c r="BV15" s="26">
        <v>3.4349791157798699</v>
      </c>
      <c r="BW15" s="26">
        <v>3.4349791157798699</v>
      </c>
      <c r="BX15" s="26">
        <v>3.4349791157798699</v>
      </c>
      <c r="BY15" s="26">
        <v>3.4349791157798699</v>
      </c>
      <c r="BZ15" s="26">
        <v>3.4349791157798699</v>
      </c>
      <c r="CA15" s="26">
        <v>3.4349791157798699</v>
      </c>
      <c r="CB15" s="26">
        <v>3.4349791157798699</v>
      </c>
      <c r="CC15" s="26">
        <v>3.4349791157798699</v>
      </c>
      <c r="CD15" s="26">
        <v>3.4349791157798699</v>
      </c>
      <c r="CE15" s="26">
        <v>3.4349791157798699</v>
      </c>
      <c r="CF15" s="26">
        <v>3.4349791157798699</v>
      </c>
      <c r="CG15" s="26">
        <v>3.4349791157798699</v>
      </c>
      <c r="CH15" s="26">
        <v>3.4349791157798699</v>
      </c>
      <c r="CI15" s="26">
        <v>3.4349791157798699</v>
      </c>
      <c r="CJ15" s="26">
        <v>3.4349791157798699</v>
      </c>
      <c r="CK15" s="26">
        <v>3.4349791157798699</v>
      </c>
      <c r="CL15" s="26">
        <v>3.4349791157798699</v>
      </c>
      <c r="CM15" s="26">
        <v>3.4349791157798699</v>
      </c>
      <c r="CN15" s="26">
        <v>3.4349791157798699</v>
      </c>
      <c r="CO15" s="26">
        <v>3.4349791157798699</v>
      </c>
    </row>
    <row r="16" spans="1:93" s="6" customFormat="1" x14ac:dyDescent="0.2">
      <c r="A16" s="4" t="s">
        <v>37</v>
      </c>
      <c r="B16" s="29" t="s">
        <v>26</v>
      </c>
      <c r="C16" s="19">
        <v>2.4644696574898872</v>
      </c>
      <c r="D16" s="19">
        <v>2.5595190740888931</v>
      </c>
      <c r="E16" s="19">
        <v>2.6546068640549132</v>
      </c>
      <c r="F16" s="19">
        <v>2.7497353590154745</v>
      </c>
      <c r="G16" s="19">
        <v>2.8449068957585602</v>
      </c>
      <c r="H16" s="19">
        <v>2.9401202492660636</v>
      </c>
      <c r="I16" s="19">
        <v>3.0353849919996376</v>
      </c>
      <c r="J16" s="19">
        <v>3.1306999915781373</v>
      </c>
      <c r="K16" s="19">
        <v>3.2260677658529922</v>
      </c>
      <c r="L16" s="19">
        <v>3.3214909070909107</v>
      </c>
      <c r="M16" s="19">
        <v>3.4169685052049004</v>
      </c>
      <c r="N16" s="19">
        <v>3.4184447055503484</v>
      </c>
      <c r="O16" s="19">
        <v>3.4199845844039571</v>
      </c>
      <c r="P16" s="19">
        <v>3.4215911172706859</v>
      </c>
      <c r="Q16" s="19">
        <v>3.4232673947394558</v>
      </c>
      <c r="R16" s="19">
        <v>3.4250166298081899</v>
      </c>
      <c r="S16" s="19">
        <v>3.4268421651749867</v>
      </c>
      <c r="T16" s="19">
        <v>3.42874748055943</v>
      </c>
      <c r="U16" s="19">
        <v>3.430736200107436</v>
      </c>
      <c r="V16" s="19">
        <v>3.4328120999249649</v>
      </c>
      <c r="W16" s="26">
        <v>3.4349791157798699</v>
      </c>
      <c r="X16" s="26">
        <v>3.4349791157798699</v>
      </c>
      <c r="Y16" s="26">
        <v>3.4349791157798699</v>
      </c>
      <c r="Z16" s="26">
        <v>3.4349791157798699</v>
      </c>
      <c r="AA16" s="26">
        <v>3.4349791157798699</v>
      </c>
      <c r="AB16" s="26">
        <v>3.4349791157798699</v>
      </c>
      <c r="AC16" s="26">
        <v>3.4349791157798699</v>
      </c>
      <c r="AD16" s="26">
        <v>3.4349791157798699</v>
      </c>
      <c r="AE16" s="26">
        <v>3.4349791157798699</v>
      </c>
      <c r="AF16" s="26">
        <v>3.4349791157798699</v>
      </c>
      <c r="AG16" s="26">
        <v>3.4349791157798699</v>
      </c>
      <c r="AH16" s="26">
        <v>3.4349791157798699</v>
      </c>
      <c r="AI16" s="26">
        <v>3.4349791157798699</v>
      </c>
      <c r="AJ16" s="26">
        <v>3.4349791157798699</v>
      </c>
      <c r="AK16" s="26">
        <v>3.4349791157798699</v>
      </c>
      <c r="AL16" s="26">
        <v>3.4349791157798699</v>
      </c>
      <c r="AM16" s="26">
        <v>3.4349791157798699</v>
      </c>
      <c r="AN16" s="26">
        <v>3.4349791157798699</v>
      </c>
      <c r="AO16" s="26">
        <v>3.4349791157798699</v>
      </c>
      <c r="AP16" s="26">
        <v>3.4349791157798699</v>
      </c>
      <c r="AQ16" s="26">
        <v>3.4349791157798699</v>
      </c>
      <c r="AR16" s="26">
        <v>3.4349791157798699</v>
      </c>
      <c r="AS16" s="26">
        <v>3.4349791157798699</v>
      </c>
      <c r="AT16" s="26">
        <v>3.4349791157798699</v>
      </c>
      <c r="AU16" s="26">
        <v>3.4349791157798699</v>
      </c>
      <c r="AV16" s="26">
        <v>3.4349791157798699</v>
      </c>
      <c r="AW16" s="26">
        <v>3.4349791157798699</v>
      </c>
      <c r="AX16" s="26">
        <v>3.4349791157798699</v>
      </c>
      <c r="AY16" s="26">
        <v>3.4349791157798699</v>
      </c>
      <c r="AZ16" s="26">
        <v>3.4349791157798699</v>
      </c>
      <c r="BA16" s="26">
        <v>3.4349791157798699</v>
      </c>
      <c r="BB16" s="26">
        <v>3.4349791157798699</v>
      </c>
      <c r="BC16" s="26">
        <v>3.4349791157798699</v>
      </c>
      <c r="BD16" s="26">
        <v>3.4349791157798699</v>
      </c>
      <c r="BE16" s="26">
        <v>3.4349791157798699</v>
      </c>
      <c r="BF16" s="26">
        <v>3.4349791157798699</v>
      </c>
      <c r="BG16" s="26">
        <v>3.4349791157798699</v>
      </c>
      <c r="BH16" s="26">
        <v>3.4349791157798699</v>
      </c>
      <c r="BI16" s="26">
        <v>3.4349791157798699</v>
      </c>
      <c r="BJ16" s="26">
        <v>3.4349791157798699</v>
      </c>
      <c r="BK16" s="26">
        <v>3.4349791157798699</v>
      </c>
      <c r="BL16" s="26">
        <v>3.4349791157798699</v>
      </c>
      <c r="BM16" s="26">
        <v>3.4349791157798699</v>
      </c>
      <c r="BN16" s="26">
        <v>3.4349791157798699</v>
      </c>
      <c r="BO16" s="26">
        <v>3.4349791157798699</v>
      </c>
      <c r="BP16" s="26">
        <v>3.4349791157798699</v>
      </c>
      <c r="BQ16" s="26">
        <v>3.4349791157798699</v>
      </c>
      <c r="BR16" s="26">
        <v>3.4349791157798699</v>
      </c>
      <c r="BS16" s="26">
        <v>3.4349791157798699</v>
      </c>
      <c r="BT16" s="26">
        <v>3.4349791157798699</v>
      </c>
      <c r="BU16" s="26">
        <v>3.4349791157798699</v>
      </c>
      <c r="BV16" s="26">
        <v>3.4349791157798699</v>
      </c>
      <c r="BW16" s="26">
        <v>3.4349791157798699</v>
      </c>
      <c r="BX16" s="26">
        <v>3.4349791157798699</v>
      </c>
      <c r="BY16" s="26">
        <v>3.4349791157798699</v>
      </c>
      <c r="BZ16" s="26">
        <v>3.4349791157798699</v>
      </c>
      <c r="CA16" s="26">
        <v>3.4349791157798699</v>
      </c>
      <c r="CB16" s="26">
        <v>3.4349791157798699</v>
      </c>
      <c r="CC16" s="26">
        <v>3.4349791157798699</v>
      </c>
      <c r="CD16" s="26">
        <v>3.4349791157798699</v>
      </c>
      <c r="CE16" s="26">
        <v>3.4349791157798699</v>
      </c>
      <c r="CF16" s="26">
        <v>3.4349791157798699</v>
      </c>
      <c r="CG16" s="26">
        <v>3.4349791157798699</v>
      </c>
      <c r="CH16" s="26">
        <v>3.4349791157798699</v>
      </c>
      <c r="CI16" s="26">
        <v>3.4349791157798699</v>
      </c>
      <c r="CJ16" s="26">
        <v>3.4349791157798699</v>
      </c>
      <c r="CK16" s="26">
        <v>3.4349791157798699</v>
      </c>
      <c r="CL16" s="26">
        <v>3.4349791157798699</v>
      </c>
      <c r="CM16" s="26">
        <v>3.4349791157798699</v>
      </c>
      <c r="CN16" s="26">
        <v>3.4349791157798699</v>
      </c>
      <c r="CO16" s="26">
        <v>3.4349791157798699</v>
      </c>
    </row>
    <row r="17" spans="1:93" x14ac:dyDescent="0.2">
      <c r="A17" s="7"/>
      <c r="B17" s="21"/>
      <c r="C17" s="21"/>
      <c r="D17" s="21"/>
      <c r="E17" s="21"/>
      <c r="F17" s="21"/>
      <c r="G17" s="21"/>
      <c r="H17" s="21"/>
      <c r="I17" s="21"/>
      <c r="J17" s="21"/>
      <c r="K17" s="21"/>
      <c r="L17" s="21"/>
      <c r="M17" s="21"/>
      <c r="N17" s="21"/>
      <c r="O17" s="21"/>
      <c r="P17" s="21"/>
      <c r="Q17" s="21"/>
      <c r="R17" s="21"/>
      <c r="S17" s="21"/>
      <c r="T17" s="21"/>
      <c r="U17" s="21"/>
      <c r="V17" s="21"/>
      <c r="W17" s="25"/>
      <c r="X17" s="21"/>
      <c r="Y17" s="21"/>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row>
    <row r="18" spans="1:93" x14ac:dyDescent="0.2">
      <c r="A18" s="4" t="s">
        <v>38</v>
      </c>
      <c r="B18" s="29" t="s">
        <v>26</v>
      </c>
      <c r="C18" s="19">
        <v>3.2176613095847411</v>
      </c>
      <c r="D18" s="19">
        <v>3.1801276145630739</v>
      </c>
      <c r="E18" s="19">
        <v>3.1425939195414063</v>
      </c>
      <c r="F18" s="19">
        <v>3.1050602245197396</v>
      </c>
      <c r="G18" s="19">
        <v>3.0675265294980725</v>
      </c>
      <c r="H18" s="19">
        <v>3.0265806803835265</v>
      </c>
      <c r="I18" s="19">
        <v>3.0265806803835265</v>
      </c>
      <c r="J18" s="19">
        <v>3.0265806803835265</v>
      </c>
      <c r="K18" s="19">
        <v>3.0265806803835265</v>
      </c>
      <c r="L18" s="19">
        <v>3.0265806803835265</v>
      </c>
      <c r="M18" s="19">
        <v>3.0265806803835265</v>
      </c>
      <c r="N18" s="19">
        <v>3.0265806803835265</v>
      </c>
      <c r="O18" s="19">
        <v>3.0265806803835265</v>
      </c>
      <c r="P18" s="19">
        <v>3.0265806803835265</v>
      </c>
      <c r="Q18" s="19">
        <v>3.0265806803835265</v>
      </c>
      <c r="R18" s="19">
        <v>3.0265806803835265</v>
      </c>
      <c r="S18" s="19">
        <v>3.0265806803835265</v>
      </c>
      <c r="T18" s="19">
        <v>3.0265806803835265</v>
      </c>
      <c r="U18" s="19">
        <v>3.0265806803835265</v>
      </c>
      <c r="V18" s="19">
        <v>3.0265806803835265</v>
      </c>
      <c r="W18" s="26">
        <v>3.0265806803835265</v>
      </c>
      <c r="X18" s="19">
        <v>3.0265806803835265</v>
      </c>
      <c r="Y18" s="19">
        <v>3.0265806803835265</v>
      </c>
      <c r="Z18" s="19">
        <v>3.0265806803835265</v>
      </c>
      <c r="AA18" s="19">
        <v>3.0265806803835265</v>
      </c>
      <c r="AB18" s="19">
        <v>3.0265806803835265</v>
      </c>
      <c r="AC18" s="19">
        <v>3.0265806803835265</v>
      </c>
      <c r="AD18" s="19">
        <v>3.0265806803835265</v>
      </c>
      <c r="AE18" s="19">
        <v>3.0265806803835265</v>
      </c>
      <c r="AF18" s="19">
        <v>3.0265806803835265</v>
      </c>
      <c r="AG18" s="19">
        <v>3.0265806803835265</v>
      </c>
      <c r="AH18" s="19">
        <v>3.0265806803835265</v>
      </c>
      <c r="AI18" s="19">
        <v>3.0265806803835265</v>
      </c>
      <c r="AJ18" s="19">
        <v>3.0265806803835265</v>
      </c>
      <c r="AK18" s="19">
        <v>3.0265806803835265</v>
      </c>
      <c r="AL18" s="19">
        <v>3.0265806803835265</v>
      </c>
      <c r="AM18" s="19">
        <v>3.0265806803835265</v>
      </c>
      <c r="AN18" s="19">
        <v>3.0265806803835265</v>
      </c>
      <c r="AO18" s="19">
        <v>3.0265806803835265</v>
      </c>
      <c r="AP18" s="19">
        <v>3.0265806803835265</v>
      </c>
      <c r="AQ18" s="19">
        <v>3.0265806803835265</v>
      </c>
      <c r="AR18" s="19">
        <v>3.0265806803835265</v>
      </c>
      <c r="AS18" s="19">
        <v>3.0265806803835265</v>
      </c>
      <c r="AT18" s="19">
        <v>3.0265806803835265</v>
      </c>
      <c r="AU18" s="19">
        <v>3.0265806803835265</v>
      </c>
      <c r="AV18" s="19">
        <v>3.0265806803835265</v>
      </c>
      <c r="AW18" s="19">
        <v>3.0265806803835265</v>
      </c>
      <c r="AX18" s="19">
        <v>3.0265806803835265</v>
      </c>
      <c r="AY18" s="19">
        <v>3.0265806803835265</v>
      </c>
      <c r="AZ18" s="19">
        <v>3.0265806803835265</v>
      </c>
      <c r="BA18" s="19">
        <v>3.0265806803835265</v>
      </c>
      <c r="BB18" s="21">
        <v>3.0265806803835265</v>
      </c>
      <c r="BC18" s="21">
        <v>3.0265806803835265</v>
      </c>
      <c r="BD18" s="21">
        <v>3.0265806803835265</v>
      </c>
      <c r="BE18" s="21">
        <v>3.0265806803835265</v>
      </c>
      <c r="BF18" s="21">
        <v>3.0265806803835265</v>
      </c>
      <c r="BG18" s="21">
        <v>3.0265806803835265</v>
      </c>
      <c r="BH18" s="21">
        <v>3.0265806803835265</v>
      </c>
      <c r="BI18" s="21">
        <v>3.0265806803835265</v>
      </c>
      <c r="BJ18" s="21">
        <v>3.0265806803835265</v>
      </c>
      <c r="BK18" s="21">
        <v>3.0265806803835265</v>
      </c>
      <c r="BL18" s="21">
        <v>3.0265806803835265</v>
      </c>
      <c r="BM18" s="21">
        <v>3.0265806803835265</v>
      </c>
      <c r="BN18" s="21">
        <v>3.0265806803835265</v>
      </c>
      <c r="BO18" s="21">
        <v>3.0265806803835265</v>
      </c>
      <c r="BP18" s="21">
        <v>3.0265806803835265</v>
      </c>
      <c r="BQ18" s="21">
        <v>3.0265806803835265</v>
      </c>
      <c r="BR18" s="21">
        <v>3.0265806803835265</v>
      </c>
      <c r="BS18" s="21">
        <v>3.0265806803835265</v>
      </c>
      <c r="BT18" s="21">
        <v>3.0265806803835265</v>
      </c>
      <c r="BU18" s="21">
        <v>3.0265806803835265</v>
      </c>
      <c r="BV18" s="21">
        <v>3.0265806803835265</v>
      </c>
      <c r="BW18" s="21">
        <v>3.0265806803835265</v>
      </c>
      <c r="BX18" s="21">
        <v>3.0265806803835265</v>
      </c>
      <c r="BY18" s="21">
        <v>3.0265806803835265</v>
      </c>
      <c r="BZ18" s="21">
        <v>3.0265806803835265</v>
      </c>
      <c r="CA18" s="21">
        <v>3.0265806803835265</v>
      </c>
      <c r="CB18" s="21">
        <v>3.0265806803835265</v>
      </c>
      <c r="CC18" s="21">
        <v>3.0265806803835265</v>
      </c>
      <c r="CD18" s="21">
        <v>3.0265806803835265</v>
      </c>
      <c r="CE18" s="21">
        <v>3.0265806803835265</v>
      </c>
      <c r="CF18" s="21">
        <v>3.0265806803835265</v>
      </c>
      <c r="CG18" s="21">
        <v>3.0265806803835265</v>
      </c>
      <c r="CH18" s="21">
        <v>3.0265806803835265</v>
      </c>
      <c r="CI18" s="21">
        <v>3.0265806803835265</v>
      </c>
      <c r="CJ18" s="21">
        <v>3.0265806803835265</v>
      </c>
      <c r="CK18" s="21">
        <v>3.0265806803835265</v>
      </c>
      <c r="CL18" s="21">
        <v>3.0265806803835265</v>
      </c>
      <c r="CM18" s="21">
        <v>3.0265806803835265</v>
      </c>
      <c r="CN18" s="21">
        <v>3.0265806803835265</v>
      </c>
      <c r="CO18" s="21">
        <v>3.0265806803835265</v>
      </c>
    </row>
    <row r="19" spans="1:93" x14ac:dyDescent="0.2">
      <c r="A19" s="4" t="s">
        <v>52</v>
      </c>
      <c r="B19" s="29" t="s">
        <v>26</v>
      </c>
      <c r="C19" s="19">
        <v>1.5491179581669909</v>
      </c>
      <c r="D19" s="19">
        <v>1.5115842631453236</v>
      </c>
      <c r="E19" s="19">
        <v>1.4774627222165353</v>
      </c>
      <c r="F19" s="19">
        <v>1.4399290271948684</v>
      </c>
      <c r="G19" s="19">
        <v>1.402395332173201</v>
      </c>
      <c r="H19" s="19">
        <v>1.3682737912444127</v>
      </c>
      <c r="I19" s="19">
        <v>1.3682737912444127</v>
      </c>
      <c r="J19" s="19">
        <v>1.3682737912444127</v>
      </c>
      <c r="K19" s="19">
        <v>1.3682737912444127</v>
      </c>
      <c r="L19" s="19">
        <v>1.3682737912444127</v>
      </c>
      <c r="M19" s="19">
        <v>1.3682737912444127</v>
      </c>
      <c r="N19" s="19">
        <v>1.3682737912444127</v>
      </c>
      <c r="O19" s="19">
        <v>1.3682737912444127</v>
      </c>
      <c r="P19" s="19">
        <v>1.3682737912444127</v>
      </c>
      <c r="Q19" s="19">
        <v>1.3682737912444127</v>
      </c>
      <c r="R19" s="19">
        <v>1.3682737912444127</v>
      </c>
      <c r="S19" s="19">
        <v>1.3682737912444127</v>
      </c>
      <c r="T19" s="19">
        <v>1.3682737912444127</v>
      </c>
      <c r="U19" s="19">
        <v>1.3682737912444127</v>
      </c>
      <c r="V19" s="19">
        <v>1.3682737912444127</v>
      </c>
      <c r="W19" s="26">
        <v>1.3682737912444127</v>
      </c>
      <c r="X19" s="19">
        <v>1.3682737912444127</v>
      </c>
      <c r="Y19" s="19">
        <v>1.3682737912444127</v>
      </c>
      <c r="Z19" s="19">
        <v>1.3682737912444127</v>
      </c>
      <c r="AA19" s="19">
        <v>1.3682737912444127</v>
      </c>
      <c r="AB19" s="19">
        <v>1.3682737912444127</v>
      </c>
      <c r="AC19" s="19">
        <v>1.3682737912444127</v>
      </c>
      <c r="AD19" s="19">
        <v>1.3682737912444127</v>
      </c>
      <c r="AE19" s="19">
        <v>1.3682737912444127</v>
      </c>
      <c r="AF19" s="19">
        <v>1.3682737912444127</v>
      </c>
      <c r="AG19" s="19">
        <v>1.3682737912444127</v>
      </c>
      <c r="AH19" s="19">
        <v>1.3682737912444127</v>
      </c>
      <c r="AI19" s="19">
        <v>1.3682737912444127</v>
      </c>
      <c r="AJ19" s="19">
        <v>1.3682737912444127</v>
      </c>
      <c r="AK19" s="19">
        <v>1.3682737912444127</v>
      </c>
      <c r="AL19" s="19">
        <v>1.3682737912444127</v>
      </c>
      <c r="AM19" s="19">
        <v>1.3682737912444127</v>
      </c>
      <c r="AN19" s="19">
        <v>1.3682737912444127</v>
      </c>
      <c r="AO19" s="19">
        <v>1.3682737912444127</v>
      </c>
      <c r="AP19" s="19">
        <v>1.3682737912444127</v>
      </c>
      <c r="AQ19" s="19">
        <v>1.3682737912444127</v>
      </c>
      <c r="AR19" s="19">
        <v>1.3682737912444127</v>
      </c>
      <c r="AS19" s="19">
        <v>1.3682737912444127</v>
      </c>
      <c r="AT19" s="19">
        <v>1.3682737912444127</v>
      </c>
      <c r="AU19" s="19">
        <v>1.3682737912444127</v>
      </c>
      <c r="AV19" s="19">
        <v>1.3682737912444127</v>
      </c>
      <c r="AW19" s="19">
        <v>1.3682737912444127</v>
      </c>
      <c r="AX19" s="19">
        <v>1.3682737912444127</v>
      </c>
      <c r="AY19" s="19">
        <v>1.3682737912444127</v>
      </c>
      <c r="AZ19" s="19">
        <v>1.3682737912444127</v>
      </c>
      <c r="BA19" s="19">
        <v>1.3682737912444127</v>
      </c>
      <c r="BB19" s="21">
        <v>1.3682737912444127</v>
      </c>
      <c r="BC19" s="21">
        <v>1.3682737912444127</v>
      </c>
      <c r="BD19" s="21">
        <v>1.3682737912444127</v>
      </c>
      <c r="BE19" s="21">
        <v>1.3682737912444127</v>
      </c>
      <c r="BF19" s="21">
        <v>1.3682737912444127</v>
      </c>
      <c r="BG19" s="21">
        <v>1.3682737912444127</v>
      </c>
      <c r="BH19" s="21">
        <v>1.3682737912444127</v>
      </c>
      <c r="BI19" s="21">
        <v>1.3682737912444127</v>
      </c>
      <c r="BJ19" s="21">
        <v>1.3682737912444127</v>
      </c>
      <c r="BK19" s="21">
        <v>1.3682737912444127</v>
      </c>
      <c r="BL19" s="21">
        <v>1.3682737912444127</v>
      </c>
      <c r="BM19" s="21">
        <v>1.3682737912444127</v>
      </c>
      <c r="BN19" s="21">
        <v>1.3682737912444127</v>
      </c>
      <c r="BO19" s="21">
        <v>1.3682737912444127</v>
      </c>
      <c r="BP19" s="21">
        <v>1.3682737912444127</v>
      </c>
      <c r="BQ19" s="21">
        <v>1.3682737912444127</v>
      </c>
      <c r="BR19" s="21">
        <v>1.3682737912444127</v>
      </c>
      <c r="BS19" s="21">
        <v>1.3682737912444127</v>
      </c>
      <c r="BT19" s="21">
        <v>1.3682737912444127</v>
      </c>
      <c r="BU19" s="21">
        <v>1.3682737912444127</v>
      </c>
      <c r="BV19" s="21">
        <v>1.3682737912444127</v>
      </c>
      <c r="BW19" s="21">
        <v>1.3682737912444127</v>
      </c>
      <c r="BX19" s="21">
        <v>1.3682737912444127</v>
      </c>
      <c r="BY19" s="21">
        <v>1.3682737912444127</v>
      </c>
      <c r="BZ19" s="21">
        <v>1.3682737912444127</v>
      </c>
      <c r="CA19" s="21">
        <v>1.3682737912444127</v>
      </c>
      <c r="CB19" s="21">
        <v>1.3682737912444127</v>
      </c>
      <c r="CC19" s="21">
        <v>1.3682737912444127</v>
      </c>
      <c r="CD19" s="21">
        <v>1.3682737912444127</v>
      </c>
      <c r="CE19" s="21">
        <v>1.3682737912444127</v>
      </c>
      <c r="CF19" s="21">
        <v>1.3682737912444127</v>
      </c>
      <c r="CG19" s="21">
        <v>1.3682737912444127</v>
      </c>
      <c r="CH19" s="21">
        <v>1.3682737912444127</v>
      </c>
      <c r="CI19" s="21">
        <v>1.3682737912444127</v>
      </c>
      <c r="CJ19" s="21">
        <v>1.3682737912444127</v>
      </c>
      <c r="CK19" s="21">
        <v>1.3682737912444127</v>
      </c>
      <c r="CL19" s="21">
        <v>1.3682737912444127</v>
      </c>
      <c r="CM19" s="21">
        <v>1.3682737912444127</v>
      </c>
      <c r="CN19" s="21">
        <v>1.3682737912444127</v>
      </c>
      <c r="CO19" s="21">
        <v>1.3682737912444127</v>
      </c>
    </row>
    <row r="20" spans="1:93" x14ac:dyDescent="0.2">
      <c r="A20" s="4" t="s">
        <v>40</v>
      </c>
      <c r="B20" s="29" t="s">
        <v>26</v>
      </c>
      <c r="C20" s="19">
        <v>1.3307400962227456</v>
      </c>
      <c r="D20" s="19">
        <v>1.2966185552939571</v>
      </c>
      <c r="E20" s="19">
        <v>1.2590848602722899</v>
      </c>
      <c r="F20" s="19">
        <v>1.2215511652506226</v>
      </c>
      <c r="G20" s="19">
        <v>1.1874296243218343</v>
      </c>
      <c r="H20" s="19">
        <v>1.1498959293001674</v>
      </c>
      <c r="I20" s="19">
        <v>1.1498959293001674</v>
      </c>
      <c r="J20" s="19">
        <v>1.1498959293001674</v>
      </c>
      <c r="K20" s="19">
        <v>1.1498959293001674</v>
      </c>
      <c r="L20" s="19">
        <v>1.1498959293001674</v>
      </c>
      <c r="M20" s="19">
        <v>1.1498959293001674</v>
      </c>
      <c r="N20" s="19">
        <v>1.1498959293001674</v>
      </c>
      <c r="O20" s="19">
        <v>1.1498959293001674</v>
      </c>
      <c r="P20" s="19">
        <v>1.1498959293001674</v>
      </c>
      <c r="Q20" s="19">
        <v>1.1498959293001674</v>
      </c>
      <c r="R20" s="19">
        <v>1.1498959293001674</v>
      </c>
      <c r="S20" s="19">
        <v>1.1498959293001674</v>
      </c>
      <c r="T20" s="19">
        <v>1.1498959293001674</v>
      </c>
      <c r="U20" s="19">
        <v>1.1498959293001674</v>
      </c>
      <c r="V20" s="19">
        <v>1.1498959293001674</v>
      </c>
      <c r="W20" s="26">
        <v>1.1498959293001674</v>
      </c>
      <c r="X20" s="19">
        <v>1.1498959293001674</v>
      </c>
      <c r="Y20" s="19">
        <v>1.1498959293001674</v>
      </c>
      <c r="Z20" s="19">
        <v>1.1498959293001674</v>
      </c>
      <c r="AA20" s="19">
        <v>1.1498959293001674</v>
      </c>
      <c r="AB20" s="19">
        <v>1.1498959293001674</v>
      </c>
      <c r="AC20" s="19">
        <v>1.1498959293001674</v>
      </c>
      <c r="AD20" s="19">
        <v>1.1498959293001674</v>
      </c>
      <c r="AE20" s="19">
        <v>1.1498959293001674</v>
      </c>
      <c r="AF20" s="19">
        <v>1.1498959293001674</v>
      </c>
      <c r="AG20" s="19">
        <v>1.1498959293001674</v>
      </c>
      <c r="AH20" s="19">
        <v>1.1498959293001674</v>
      </c>
      <c r="AI20" s="19">
        <v>1.1498959293001674</v>
      </c>
      <c r="AJ20" s="19">
        <v>1.1498959293001674</v>
      </c>
      <c r="AK20" s="19">
        <v>1.1498959293001674</v>
      </c>
      <c r="AL20" s="19">
        <v>1.1498959293001674</v>
      </c>
      <c r="AM20" s="19">
        <v>1.1498959293001674</v>
      </c>
      <c r="AN20" s="19">
        <v>1.1498959293001674</v>
      </c>
      <c r="AO20" s="19">
        <v>1.1498959293001674</v>
      </c>
      <c r="AP20" s="19">
        <v>1.1498959293001674</v>
      </c>
      <c r="AQ20" s="19">
        <v>1.1498959293001674</v>
      </c>
      <c r="AR20" s="19">
        <v>1.1498959293001674</v>
      </c>
      <c r="AS20" s="19">
        <v>1.1498959293001674</v>
      </c>
      <c r="AT20" s="19">
        <v>1.1498959293001674</v>
      </c>
      <c r="AU20" s="19">
        <v>1.1498959293001674</v>
      </c>
      <c r="AV20" s="19">
        <v>1.1498959293001674</v>
      </c>
      <c r="AW20" s="19">
        <v>1.1498959293001674</v>
      </c>
      <c r="AX20" s="19">
        <v>1.1498959293001674</v>
      </c>
      <c r="AY20" s="19">
        <v>1.1498959293001674</v>
      </c>
      <c r="AZ20" s="19">
        <v>1.1498959293001674</v>
      </c>
      <c r="BA20" s="19">
        <v>1.1498959293001674</v>
      </c>
      <c r="BB20" s="21">
        <v>1.1498959293001674</v>
      </c>
      <c r="BC20" s="21">
        <v>1.1498959293001674</v>
      </c>
      <c r="BD20" s="21">
        <v>1.1498959293001674</v>
      </c>
      <c r="BE20" s="21">
        <v>1.1498959293001674</v>
      </c>
      <c r="BF20" s="21">
        <v>1.1498959293001674</v>
      </c>
      <c r="BG20" s="21">
        <v>1.1498959293001674</v>
      </c>
      <c r="BH20" s="21">
        <v>1.1498959293001674</v>
      </c>
      <c r="BI20" s="21">
        <v>1.1498959293001674</v>
      </c>
      <c r="BJ20" s="21">
        <v>1.1498959293001674</v>
      </c>
      <c r="BK20" s="21">
        <v>1.1498959293001674</v>
      </c>
      <c r="BL20" s="21">
        <v>1.1498959293001674</v>
      </c>
      <c r="BM20" s="21">
        <v>1.1498959293001674</v>
      </c>
      <c r="BN20" s="21">
        <v>1.1498959293001674</v>
      </c>
      <c r="BO20" s="21">
        <v>1.1498959293001674</v>
      </c>
      <c r="BP20" s="21">
        <v>1.1498959293001674</v>
      </c>
      <c r="BQ20" s="21">
        <v>1.1498959293001674</v>
      </c>
      <c r="BR20" s="21">
        <v>1.1498959293001674</v>
      </c>
      <c r="BS20" s="21">
        <v>1.1498959293001674</v>
      </c>
      <c r="BT20" s="21">
        <v>1.1498959293001674</v>
      </c>
      <c r="BU20" s="21">
        <v>1.1498959293001674</v>
      </c>
      <c r="BV20" s="21">
        <v>1.1498959293001674</v>
      </c>
      <c r="BW20" s="21">
        <v>1.1498959293001674</v>
      </c>
      <c r="BX20" s="21">
        <v>1.1498959293001674</v>
      </c>
      <c r="BY20" s="21">
        <v>1.1498959293001674</v>
      </c>
      <c r="BZ20" s="21">
        <v>1.1498959293001674</v>
      </c>
      <c r="CA20" s="21">
        <v>1.1498959293001674</v>
      </c>
      <c r="CB20" s="21">
        <v>1.1498959293001674</v>
      </c>
      <c r="CC20" s="21">
        <v>1.1498959293001674</v>
      </c>
      <c r="CD20" s="21">
        <v>1.1498959293001674</v>
      </c>
      <c r="CE20" s="21">
        <v>1.1498959293001674</v>
      </c>
      <c r="CF20" s="21">
        <v>1.1498959293001674</v>
      </c>
      <c r="CG20" s="21">
        <v>1.1498959293001674</v>
      </c>
      <c r="CH20" s="21">
        <v>1.1498959293001674</v>
      </c>
      <c r="CI20" s="21">
        <v>1.1498959293001674</v>
      </c>
      <c r="CJ20" s="21">
        <v>1.1498959293001674</v>
      </c>
      <c r="CK20" s="21">
        <v>1.1498959293001674</v>
      </c>
      <c r="CL20" s="21">
        <v>1.1498959293001674</v>
      </c>
      <c r="CM20" s="21">
        <v>1.1498959293001674</v>
      </c>
      <c r="CN20" s="21">
        <v>1.1498959293001674</v>
      </c>
      <c r="CO20" s="21">
        <v>1.1498959293001674</v>
      </c>
    </row>
    <row r="21" spans="1:93" s="6" customFormat="1" x14ac:dyDescent="0.2">
      <c r="A21" s="4" t="s">
        <v>41</v>
      </c>
      <c r="B21" s="29" t="s">
        <v>26</v>
      </c>
      <c r="C21" s="19">
        <v>2.8252635889036748</v>
      </c>
      <c r="D21" s="19">
        <v>2.7877298938820081</v>
      </c>
      <c r="E21" s="19">
        <v>2.7536083529532194</v>
      </c>
      <c r="F21" s="19">
        <v>2.7160746579315522</v>
      </c>
      <c r="G21" s="19">
        <v>2.6785409629098851</v>
      </c>
      <c r="H21" s="19">
        <v>2.6444194219810968</v>
      </c>
      <c r="I21" s="19">
        <v>2.6444194219810968</v>
      </c>
      <c r="J21" s="19">
        <v>2.6444194219810968</v>
      </c>
      <c r="K21" s="19">
        <v>2.6444194219810968</v>
      </c>
      <c r="L21" s="19">
        <v>2.6444194219810968</v>
      </c>
      <c r="M21" s="19">
        <v>2.6444194219810968</v>
      </c>
      <c r="N21" s="19">
        <v>2.6444194219810968</v>
      </c>
      <c r="O21" s="19">
        <v>2.6444194219810968</v>
      </c>
      <c r="P21" s="19">
        <v>2.6444194219810968</v>
      </c>
      <c r="Q21" s="19">
        <v>2.6444194219810968</v>
      </c>
      <c r="R21" s="19">
        <v>2.6444194219810968</v>
      </c>
      <c r="S21" s="19">
        <v>2.6444194219810968</v>
      </c>
      <c r="T21" s="19">
        <v>2.6444194219810968</v>
      </c>
      <c r="U21" s="19">
        <v>2.6444194219810968</v>
      </c>
      <c r="V21" s="19">
        <v>2.6444194219810968</v>
      </c>
      <c r="W21" s="26">
        <v>2.6444194219810968</v>
      </c>
      <c r="X21" s="19">
        <v>2.6444194219810968</v>
      </c>
      <c r="Y21" s="19">
        <v>2.6444194219810968</v>
      </c>
      <c r="Z21" s="19">
        <v>2.6444194219810968</v>
      </c>
      <c r="AA21" s="19">
        <v>2.6444194219810968</v>
      </c>
      <c r="AB21" s="19">
        <v>2.6444194219810968</v>
      </c>
      <c r="AC21" s="19">
        <v>2.6444194219810968</v>
      </c>
      <c r="AD21" s="19">
        <v>2.6444194219810968</v>
      </c>
      <c r="AE21" s="19">
        <v>2.6444194219810968</v>
      </c>
      <c r="AF21" s="19">
        <v>2.6444194219810968</v>
      </c>
      <c r="AG21" s="19">
        <v>2.6444194219810968</v>
      </c>
      <c r="AH21" s="19">
        <v>2.6444194219810968</v>
      </c>
      <c r="AI21" s="19">
        <v>2.6444194219810968</v>
      </c>
      <c r="AJ21" s="19">
        <v>2.6444194219810968</v>
      </c>
      <c r="AK21" s="19">
        <v>2.6444194219810968</v>
      </c>
      <c r="AL21" s="19">
        <v>2.6444194219810968</v>
      </c>
      <c r="AM21" s="19">
        <v>2.6444194219810968</v>
      </c>
      <c r="AN21" s="19">
        <v>2.6444194219810968</v>
      </c>
      <c r="AO21" s="19">
        <v>2.6444194219810968</v>
      </c>
      <c r="AP21" s="19">
        <v>2.6444194219810968</v>
      </c>
      <c r="AQ21" s="19">
        <v>2.6444194219810968</v>
      </c>
      <c r="AR21" s="19">
        <v>2.6444194219810968</v>
      </c>
      <c r="AS21" s="19">
        <v>2.6444194219810968</v>
      </c>
      <c r="AT21" s="19">
        <v>2.6444194219810968</v>
      </c>
      <c r="AU21" s="19">
        <v>2.6444194219810968</v>
      </c>
      <c r="AV21" s="19">
        <v>2.6444194219810968</v>
      </c>
      <c r="AW21" s="19">
        <v>2.6444194219810968</v>
      </c>
      <c r="AX21" s="19">
        <v>2.6444194219810968</v>
      </c>
      <c r="AY21" s="19">
        <v>2.6444194219810968</v>
      </c>
      <c r="AZ21" s="19">
        <v>2.6444194219810968</v>
      </c>
      <c r="BA21" s="19">
        <v>2.6444194219810968</v>
      </c>
      <c r="BB21" s="25">
        <v>2.6444194219810968</v>
      </c>
      <c r="BC21" s="25">
        <v>2.6444194219810968</v>
      </c>
      <c r="BD21" s="25">
        <v>2.6444194219810968</v>
      </c>
      <c r="BE21" s="25">
        <v>2.6444194219810968</v>
      </c>
      <c r="BF21" s="25">
        <v>2.6444194219810968</v>
      </c>
      <c r="BG21" s="25">
        <v>2.6444194219810968</v>
      </c>
      <c r="BH21" s="25">
        <v>2.6444194219810968</v>
      </c>
      <c r="BI21" s="25">
        <v>2.6444194219810968</v>
      </c>
      <c r="BJ21" s="25">
        <v>2.6444194219810968</v>
      </c>
      <c r="BK21" s="25">
        <v>2.6444194219810968</v>
      </c>
      <c r="BL21" s="25">
        <v>2.6444194219810968</v>
      </c>
      <c r="BM21" s="25">
        <v>2.6444194219810968</v>
      </c>
      <c r="BN21" s="25">
        <v>2.6444194219810968</v>
      </c>
      <c r="BO21" s="25">
        <v>2.6444194219810968</v>
      </c>
      <c r="BP21" s="25">
        <v>2.6444194219810968</v>
      </c>
      <c r="BQ21" s="25">
        <v>2.6444194219810968</v>
      </c>
      <c r="BR21" s="25">
        <v>2.6444194219810968</v>
      </c>
      <c r="BS21" s="25">
        <v>2.6444194219810968</v>
      </c>
      <c r="BT21" s="25">
        <v>2.6444194219810968</v>
      </c>
      <c r="BU21" s="25">
        <v>2.6444194219810968</v>
      </c>
      <c r="BV21" s="25">
        <v>2.6444194219810968</v>
      </c>
      <c r="BW21" s="25">
        <v>2.6444194219810968</v>
      </c>
      <c r="BX21" s="25">
        <v>2.6444194219810968</v>
      </c>
      <c r="BY21" s="25">
        <v>2.6444194219810968</v>
      </c>
      <c r="BZ21" s="25">
        <v>2.6444194219810968</v>
      </c>
      <c r="CA21" s="25">
        <v>2.6444194219810968</v>
      </c>
      <c r="CB21" s="25">
        <v>2.6444194219810968</v>
      </c>
      <c r="CC21" s="25">
        <v>2.6444194219810968</v>
      </c>
      <c r="CD21" s="25">
        <v>2.6444194219810968</v>
      </c>
      <c r="CE21" s="25">
        <v>2.6444194219810968</v>
      </c>
      <c r="CF21" s="25">
        <v>2.6444194219810968</v>
      </c>
      <c r="CG21" s="25">
        <v>2.6444194219810968</v>
      </c>
      <c r="CH21" s="25">
        <v>2.6444194219810968</v>
      </c>
      <c r="CI21" s="25">
        <v>2.6444194219810968</v>
      </c>
      <c r="CJ21" s="25">
        <v>2.6444194219810968</v>
      </c>
      <c r="CK21" s="25">
        <v>2.6444194219810968</v>
      </c>
      <c r="CL21" s="25">
        <v>2.6444194219810968</v>
      </c>
      <c r="CM21" s="25">
        <v>2.6444194219810968</v>
      </c>
      <c r="CN21" s="25">
        <v>2.6444194219810968</v>
      </c>
      <c r="CO21" s="25">
        <v>2.6444194219810968</v>
      </c>
    </row>
    <row r="22" spans="1:93" s="6" customFormat="1" x14ac:dyDescent="0.2">
      <c r="A22" s="4" t="s">
        <v>42</v>
      </c>
      <c r="B22" s="29" t="s">
        <v>26</v>
      </c>
      <c r="C22" s="19">
        <v>1.3068550175725935</v>
      </c>
      <c r="D22" s="19">
        <v>1.2727334766438052</v>
      </c>
      <c r="E22" s="19">
        <v>1.2351997816221383</v>
      </c>
      <c r="F22" s="19">
        <v>1.1976660866004709</v>
      </c>
      <c r="G22" s="19">
        <v>1.1635445456716826</v>
      </c>
      <c r="H22" s="19">
        <v>1.1260108506500155</v>
      </c>
      <c r="I22" s="19">
        <v>1.1260108506500155</v>
      </c>
      <c r="J22" s="19">
        <v>1.1260108506500155</v>
      </c>
      <c r="K22" s="19">
        <v>1.1260108506500155</v>
      </c>
      <c r="L22" s="19">
        <v>1.1260108506500155</v>
      </c>
      <c r="M22" s="19">
        <v>1.1260108506500155</v>
      </c>
      <c r="N22" s="19">
        <v>1.1260108506500155</v>
      </c>
      <c r="O22" s="19">
        <v>1.1260108506500155</v>
      </c>
      <c r="P22" s="19">
        <v>1.1260108506500155</v>
      </c>
      <c r="Q22" s="19">
        <v>1.1260108506500155</v>
      </c>
      <c r="R22" s="19">
        <v>1.1260108506500155</v>
      </c>
      <c r="S22" s="19">
        <v>1.1260108506500155</v>
      </c>
      <c r="T22" s="19">
        <v>1.1260108506500155</v>
      </c>
      <c r="U22" s="19">
        <v>1.1260108506500155</v>
      </c>
      <c r="V22" s="19">
        <v>1.1260108506500155</v>
      </c>
      <c r="W22" s="26">
        <v>1.1260108506500155</v>
      </c>
      <c r="X22" s="19">
        <v>1.1260108506500155</v>
      </c>
      <c r="Y22" s="19">
        <v>1.1260108506500155</v>
      </c>
      <c r="Z22" s="19">
        <v>1.1260108506500155</v>
      </c>
      <c r="AA22" s="19">
        <v>1.1260108506500155</v>
      </c>
      <c r="AB22" s="19">
        <v>1.1260108506500155</v>
      </c>
      <c r="AC22" s="19">
        <v>1.1260108506500155</v>
      </c>
      <c r="AD22" s="19">
        <v>1.1260108506500155</v>
      </c>
      <c r="AE22" s="19">
        <v>1.1260108506500155</v>
      </c>
      <c r="AF22" s="19">
        <v>1.1260108506500155</v>
      </c>
      <c r="AG22" s="19">
        <v>1.1260108506500155</v>
      </c>
      <c r="AH22" s="19">
        <v>1.1260108506500155</v>
      </c>
      <c r="AI22" s="19">
        <v>1.1260108506500155</v>
      </c>
      <c r="AJ22" s="19">
        <v>1.1260108506500155</v>
      </c>
      <c r="AK22" s="19">
        <v>1.1260108506500155</v>
      </c>
      <c r="AL22" s="19">
        <v>1.1260108506500155</v>
      </c>
      <c r="AM22" s="19">
        <v>1.1260108506500155</v>
      </c>
      <c r="AN22" s="19">
        <v>1.1260108506500155</v>
      </c>
      <c r="AO22" s="19">
        <v>1.1260108506500155</v>
      </c>
      <c r="AP22" s="19">
        <v>1.1260108506500155</v>
      </c>
      <c r="AQ22" s="19">
        <v>1.1260108506500155</v>
      </c>
      <c r="AR22" s="19">
        <v>1.1260108506500155</v>
      </c>
      <c r="AS22" s="19">
        <v>1.1260108506500155</v>
      </c>
      <c r="AT22" s="19">
        <v>1.1260108506500155</v>
      </c>
      <c r="AU22" s="19">
        <v>1.1260108506500155</v>
      </c>
      <c r="AV22" s="19">
        <v>1.1260108506500155</v>
      </c>
      <c r="AW22" s="19">
        <v>1.1260108506500155</v>
      </c>
      <c r="AX22" s="19">
        <v>1.1260108506500155</v>
      </c>
      <c r="AY22" s="19">
        <v>1.1260108506500155</v>
      </c>
      <c r="AZ22" s="19">
        <v>1.1260108506500155</v>
      </c>
      <c r="BA22" s="19">
        <v>1.1260108506500155</v>
      </c>
      <c r="BB22" s="25">
        <v>1.1260108506500155</v>
      </c>
      <c r="BC22" s="25">
        <v>1.1260108506500155</v>
      </c>
      <c r="BD22" s="25">
        <v>1.1260108506500155</v>
      </c>
      <c r="BE22" s="25">
        <v>1.1260108506500155</v>
      </c>
      <c r="BF22" s="25">
        <v>1.1260108506500155</v>
      </c>
      <c r="BG22" s="25">
        <v>1.1260108506500155</v>
      </c>
      <c r="BH22" s="25">
        <v>1.1260108506500155</v>
      </c>
      <c r="BI22" s="25">
        <v>1.1260108506500155</v>
      </c>
      <c r="BJ22" s="25">
        <v>1.1260108506500155</v>
      </c>
      <c r="BK22" s="25">
        <v>1.1260108506500155</v>
      </c>
      <c r="BL22" s="25">
        <v>1.1260108506500155</v>
      </c>
      <c r="BM22" s="25">
        <v>1.1260108506500155</v>
      </c>
      <c r="BN22" s="25">
        <v>1.1260108506500155</v>
      </c>
      <c r="BO22" s="25">
        <v>1.1260108506500155</v>
      </c>
      <c r="BP22" s="25">
        <v>1.1260108506500155</v>
      </c>
      <c r="BQ22" s="25">
        <v>1.1260108506500155</v>
      </c>
      <c r="BR22" s="25">
        <v>1.1260108506500155</v>
      </c>
      <c r="BS22" s="25">
        <v>1.1260108506500155</v>
      </c>
      <c r="BT22" s="25">
        <v>1.1260108506500155</v>
      </c>
      <c r="BU22" s="25">
        <v>1.1260108506500155</v>
      </c>
      <c r="BV22" s="25">
        <v>1.1260108506500155</v>
      </c>
      <c r="BW22" s="25">
        <v>1.1260108506500155</v>
      </c>
      <c r="BX22" s="25">
        <v>1.1260108506500155</v>
      </c>
      <c r="BY22" s="25">
        <v>1.1260108506500155</v>
      </c>
      <c r="BZ22" s="25">
        <v>1.1260108506500155</v>
      </c>
      <c r="CA22" s="25">
        <v>1.1260108506500155</v>
      </c>
      <c r="CB22" s="25">
        <v>1.1260108506500155</v>
      </c>
      <c r="CC22" s="25">
        <v>1.1260108506500155</v>
      </c>
      <c r="CD22" s="25">
        <v>1.1260108506500155</v>
      </c>
      <c r="CE22" s="25">
        <v>1.1260108506500155</v>
      </c>
      <c r="CF22" s="25">
        <v>1.1260108506500155</v>
      </c>
      <c r="CG22" s="25">
        <v>1.1260108506500155</v>
      </c>
      <c r="CH22" s="25">
        <v>1.1260108506500155</v>
      </c>
      <c r="CI22" s="25">
        <v>1.1260108506500155</v>
      </c>
      <c r="CJ22" s="25">
        <v>1.1260108506500155</v>
      </c>
      <c r="CK22" s="25">
        <v>1.1260108506500155</v>
      </c>
      <c r="CL22" s="25">
        <v>1.1260108506500155</v>
      </c>
      <c r="CM22" s="25">
        <v>1.1260108506500155</v>
      </c>
      <c r="CN22" s="25">
        <v>1.1260108506500155</v>
      </c>
      <c r="CO22" s="25">
        <v>1.1260108506500155</v>
      </c>
    </row>
    <row r="23" spans="1:93" s="6" customFormat="1" x14ac:dyDescent="0.2">
      <c r="A23" s="4" t="s">
        <v>43</v>
      </c>
      <c r="B23" s="29" t="s">
        <v>26</v>
      </c>
      <c r="C23" s="19">
        <v>1.2113147029719862</v>
      </c>
      <c r="D23" s="19">
        <v>1.173781007950319</v>
      </c>
      <c r="E23" s="19">
        <v>1.1396594670215308</v>
      </c>
      <c r="F23" s="19">
        <v>1.1021257719998634</v>
      </c>
      <c r="G23" s="19">
        <v>1.0645920769781965</v>
      </c>
      <c r="H23" s="19">
        <v>1.030470536049408</v>
      </c>
      <c r="I23" s="19">
        <v>1.030470536049408</v>
      </c>
      <c r="J23" s="19">
        <v>1.030470536049408</v>
      </c>
      <c r="K23" s="19">
        <v>1.030470536049408</v>
      </c>
      <c r="L23" s="19">
        <v>1.030470536049408</v>
      </c>
      <c r="M23" s="19">
        <v>1.030470536049408</v>
      </c>
      <c r="N23" s="19">
        <v>1.030470536049408</v>
      </c>
      <c r="O23" s="19">
        <v>1.030470536049408</v>
      </c>
      <c r="P23" s="19">
        <v>1.030470536049408</v>
      </c>
      <c r="Q23" s="19">
        <v>1.030470536049408</v>
      </c>
      <c r="R23" s="19">
        <v>1.030470536049408</v>
      </c>
      <c r="S23" s="19">
        <v>1.030470536049408</v>
      </c>
      <c r="T23" s="19">
        <v>1.030470536049408</v>
      </c>
      <c r="U23" s="19">
        <v>1.030470536049408</v>
      </c>
      <c r="V23" s="19">
        <v>1.030470536049408</v>
      </c>
      <c r="W23" s="26">
        <v>1.030470536049408</v>
      </c>
      <c r="X23" s="19">
        <v>1.030470536049408</v>
      </c>
      <c r="Y23" s="19">
        <v>1.030470536049408</v>
      </c>
      <c r="Z23" s="19">
        <v>1.030470536049408</v>
      </c>
      <c r="AA23" s="19">
        <v>1.030470536049408</v>
      </c>
      <c r="AB23" s="19">
        <v>1.030470536049408</v>
      </c>
      <c r="AC23" s="19">
        <v>1.030470536049408</v>
      </c>
      <c r="AD23" s="19">
        <v>1.030470536049408</v>
      </c>
      <c r="AE23" s="19">
        <v>1.030470536049408</v>
      </c>
      <c r="AF23" s="19">
        <v>1.030470536049408</v>
      </c>
      <c r="AG23" s="19">
        <v>1.030470536049408</v>
      </c>
      <c r="AH23" s="19">
        <v>1.030470536049408</v>
      </c>
      <c r="AI23" s="19">
        <v>1.030470536049408</v>
      </c>
      <c r="AJ23" s="19">
        <v>1.030470536049408</v>
      </c>
      <c r="AK23" s="19">
        <v>1.030470536049408</v>
      </c>
      <c r="AL23" s="19">
        <v>1.030470536049408</v>
      </c>
      <c r="AM23" s="19">
        <v>1.030470536049408</v>
      </c>
      <c r="AN23" s="19">
        <v>1.030470536049408</v>
      </c>
      <c r="AO23" s="19">
        <v>1.030470536049408</v>
      </c>
      <c r="AP23" s="19">
        <v>1.030470536049408</v>
      </c>
      <c r="AQ23" s="19">
        <v>1.030470536049408</v>
      </c>
      <c r="AR23" s="19">
        <v>1.030470536049408</v>
      </c>
      <c r="AS23" s="19">
        <v>1.030470536049408</v>
      </c>
      <c r="AT23" s="19">
        <v>1.030470536049408</v>
      </c>
      <c r="AU23" s="19">
        <v>1.030470536049408</v>
      </c>
      <c r="AV23" s="19">
        <v>1.030470536049408</v>
      </c>
      <c r="AW23" s="19">
        <v>1.030470536049408</v>
      </c>
      <c r="AX23" s="19">
        <v>1.030470536049408</v>
      </c>
      <c r="AY23" s="19">
        <v>1.030470536049408</v>
      </c>
      <c r="AZ23" s="19">
        <v>1.030470536049408</v>
      </c>
      <c r="BA23" s="19">
        <v>1.030470536049408</v>
      </c>
      <c r="BB23" s="25">
        <v>1.030470536049408</v>
      </c>
      <c r="BC23" s="25">
        <v>1.030470536049408</v>
      </c>
      <c r="BD23" s="25">
        <v>1.030470536049408</v>
      </c>
      <c r="BE23" s="25">
        <v>1.030470536049408</v>
      </c>
      <c r="BF23" s="25">
        <v>1.030470536049408</v>
      </c>
      <c r="BG23" s="25">
        <v>1.030470536049408</v>
      </c>
      <c r="BH23" s="25">
        <v>1.030470536049408</v>
      </c>
      <c r="BI23" s="25">
        <v>1.030470536049408</v>
      </c>
      <c r="BJ23" s="25">
        <v>1.030470536049408</v>
      </c>
      <c r="BK23" s="25">
        <v>1.030470536049408</v>
      </c>
      <c r="BL23" s="25">
        <v>1.030470536049408</v>
      </c>
      <c r="BM23" s="25">
        <v>1.030470536049408</v>
      </c>
      <c r="BN23" s="25">
        <v>1.030470536049408</v>
      </c>
      <c r="BO23" s="25">
        <v>1.030470536049408</v>
      </c>
      <c r="BP23" s="25">
        <v>1.030470536049408</v>
      </c>
      <c r="BQ23" s="25">
        <v>1.030470536049408</v>
      </c>
      <c r="BR23" s="25">
        <v>1.030470536049408</v>
      </c>
      <c r="BS23" s="25">
        <v>1.030470536049408</v>
      </c>
      <c r="BT23" s="25">
        <v>1.030470536049408</v>
      </c>
      <c r="BU23" s="25">
        <v>1.030470536049408</v>
      </c>
      <c r="BV23" s="25">
        <v>1.030470536049408</v>
      </c>
      <c r="BW23" s="25">
        <v>1.030470536049408</v>
      </c>
      <c r="BX23" s="25">
        <v>1.030470536049408</v>
      </c>
      <c r="BY23" s="25">
        <v>1.030470536049408</v>
      </c>
      <c r="BZ23" s="25">
        <v>1.030470536049408</v>
      </c>
      <c r="CA23" s="25">
        <v>1.030470536049408</v>
      </c>
      <c r="CB23" s="25">
        <v>1.030470536049408</v>
      </c>
      <c r="CC23" s="25">
        <v>1.030470536049408</v>
      </c>
      <c r="CD23" s="25">
        <v>1.030470536049408</v>
      </c>
      <c r="CE23" s="25">
        <v>1.030470536049408</v>
      </c>
      <c r="CF23" s="25">
        <v>1.030470536049408</v>
      </c>
      <c r="CG23" s="25">
        <v>1.030470536049408</v>
      </c>
      <c r="CH23" s="25">
        <v>1.030470536049408</v>
      </c>
      <c r="CI23" s="25">
        <v>1.030470536049408</v>
      </c>
      <c r="CJ23" s="25">
        <v>1.030470536049408</v>
      </c>
      <c r="CK23" s="25">
        <v>1.030470536049408</v>
      </c>
      <c r="CL23" s="25">
        <v>1.030470536049408</v>
      </c>
      <c r="CM23" s="25">
        <v>1.030470536049408</v>
      </c>
      <c r="CN23" s="25">
        <v>1.030470536049408</v>
      </c>
      <c r="CO23" s="25">
        <v>1.030470536049408</v>
      </c>
    </row>
    <row r="24" spans="1:93" x14ac:dyDescent="0.2">
      <c r="A24" s="7"/>
      <c r="B24" s="21"/>
      <c r="C24" s="19"/>
      <c r="D24" s="19"/>
      <c r="E24" s="19"/>
      <c r="F24" s="19"/>
      <c r="G24" s="19"/>
      <c r="H24" s="19"/>
      <c r="I24" s="19"/>
      <c r="J24" s="19"/>
      <c r="K24" s="19"/>
      <c r="L24" s="19"/>
      <c r="M24" s="19"/>
      <c r="N24" s="19"/>
      <c r="O24" s="19"/>
      <c r="P24" s="19"/>
      <c r="Q24" s="19"/>
      <c r="R24" s="19"/>
      <c r="S24" s="19"/>
      <c r="T24" s="19"/>
      <c r="U24" s="19"/>
      <c r="V24" s="19"/>
      <c r="W24" s="26"/>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row>
    <row r="25" spans="1:93" x14ac:dyDescent="0.2">
      <c r="A25" s="4" t="s">
        <v>63</v>
      </c>
      <c r="B25" s="29" t="s">
        <v>44</v>
      </c>
      <c r="C25" s="19">
        <v>43.581784152652169</v>
      </c>
      <c r="D25" s="19">
        <v>44.759917522884535</v>
      </c>
      <c r="E25" s="19">
        <v>46.330762016527686</v>
      </c>
      <c r="F25" s="19">
        <v>47.901606510170836</v>
      </c>
      <c r="G25" s="19">
        <v>49.079739880403189</v>
      </c>
      <c r="H25" s="19">
        <v>50.650584374046339</v>
      </c>
      <c r="I25" s="19">
        <v>51.828717744278713</v>
      </c>
      <c r="J25" s="19">
        <v>53.399562237921863</v>
      </c>
      <c r="K25" s="19">
        <v>54.970406731565014</v>
      </c>
      <c r="L25" s="19">
        <v>56.148540101797387</v>
      </c>
      <c r="M25" s="19">
        <v>57.719384595440538</v>
      </c>
      <c r="N25" s="19">
        <v>57.719384595440538</v>
      </c>
      <c r="O25" s="19">
        <v>57.719384595440538</v>
      </c>
      <c r="P25" s="19">
        <v>57.719384595440538</v>
      </c>
      <c r="Q25" s="19">
        <v>57.719384595440538</v>
      </c>
      <c r="R25" s="19">
        <v>57.719384595440538</v>
      </c>
      <c r="S25" s="19">
        <v>57.719384595440538</v>
      </c>
      <c r="T25" s="19">
        <v>57.719384595440538</v>
      </c>
      <c r="U25" s="19">
        <v>57.719384595440538</v>
      </c>
      <c r="V25" s="19">
        <v>57.719384595440538</v>
      </c>
      <c r="W25" s="26">
        <v>57.719384595440538</v>
      </c>
      <c r="X25" s="19">
        <v>57.719384595440538</v>
      </c>
      <c r="Y25" s="19">
        <v>57.719384595440538</v>
      </c>
      <c r="Z25" s="19">
        <v>57.719384595440538</v>
      </c>
      <c r="AA25" s="19">
        <v>57.719384595440538</v>
      </c>
      <c r="AB25" s="19">
        <v>57.719384595440538</v>
      </c>
      <c r="AC25" s="19">
        <v>57.719384595440538</v>
      </c>
      <c r="AD25" s="19">
        <v>57.719384595440538</v>
      </c>
      <c r="AE25" s="19">
        <v>57.719384595440538</v>
      </c>
      <c r="AF25" s="19">
        <v>57.719384595440538</v>
      </c>
      <c r="AG25" s="19">
        <v>57.719384595440538</v>
      </c>
      <c r="AH25" s="19">
        <v>57.719384595440538</v>
      </c>
      <c r="AI25" s="19">
        <v>57.719384595440538</v>
      </c>
      <c r="AJ25" s="19">
        <v>57.719384595440538</v>
      </c>
      <c r="AK25" s="19">
        <v>57.719384595440538</v>
      </c>
      <c r="AL25" s="19">
        <v>57.719384595440538</v>
      </c>
      <c r="AM25" s="19">
        <v>57.719384595440538</v>
      </c>
      <c r="AN25" s="19">
        <v>57.719384595440538</v>
      </c>
      <c r="AO25" s="19">
        <v>57.719384595440538</v>
      </c>
      <c r="AP25" s="19">
        <v>57.719384595440538</v>
      </c>
      <c r="AQ25" s="19">
        <v>57.719384595440538</v>
      </c>
      <c r="AR25" s="19">
        <v>57.719384595440538</v>
      </c>
      <c r="AS25" s="19">
        <v>57.719384595440538</v>
      </c>
      <c r="AT25" s="19">
        <v>57.719384595440538</v>
      </c>
      <c r="AU25" s="19">
        <v>57.719384595440538</v>
      </c>
      <c r="AV25" s="19">
        <v>57.719384595440538</v>
      </c>
      <c r="AW25" s="19">
        <v>57.719384595440538</v>
      </c>
      <c r="AX25" s="19">
        <v>57.719384595440538</v>
      </c>
      <c r="AY25" s="19">
        <v>57.719384595440538</v>
      </c>
      <c r="AZ25" s="19">
        <v>57.719384595440538</v>
      </c>
      <c r="BA25" s="19">
        <v>57.719384595440538</v>
      </c>
      <c r="BB25" s="19">
        <v>57.719384595440538</v>
      </c>
      <c r="BC25" s="19">
        <v>57.719384595440538</v>
      </c>
      <c r="BD25" s="19">
        <v>57.719384595440538</v>
      </c>
      <c r="BE25" s="19">
        <v>57.719384595440538</v>
      </c>
      <c r="BF25" s="19">
        <v>57.719384595440538</v>
      </c>
      <c r="BG25" s="19">
        <v>57.719384595440538</v>
      </c>
      <c r="BH25" s="19">
        <v>57.719384595440538</v>
      </c>
      <c r="BI25" s="19">
        <v>57.719384595440538</v>
      </c>
      <c r="BJ25" s="19">
        <v>57.719384595440538</v>
      </c>
      <c r="BK25" s="19">
        <v>57.719384595440538</v>
      </c>
      <c r="BL25" s="19">
        <v>57.719384595440538</v>
      </c>
      <c r="BM25" s="19">
        <v>57.719384595440538</v>
      </c>
      <c r="BN25" s="19">
        <v>57.719384595440538</v>
      </c>
      <c r="BO25" s="19">
        <v>57.719384595440538</v>
      </c>
      <c r="BP25" s="19">
        <v>57.719384595440538</v>
      </c>
      <c r="BQ25" s="19">
        <v>57.719384595440538</v>
      </c>
      <c r="BR25" s="19">
        <v>57.719384595440538</v>
      </c>
      <c r="BS25" s="19">
        <v>57.719384595440538</v>
      </c>
      <c r="BT25" s="19">
        <v>57.719384595440538</v>
      </c>
      <c r="BU25" s="19">
        <v>57.719384595440538</v>
      </c>
      <c r="BV25" s="19">
        <v>57.719384595440538</v>
      </c>
      <c r="BW25" s="19">
        <v>57.719384595440538</v>
      </c>
      <c r="BX25" s="19">
        <v>57.719384595440538</v>
      </c>
      <c r="BY25" s="19">
        <v>57.719384595440538</v>
      </c>
      <c r="BZ25" s="19">
        <v>57.719384595440538</v>
      </c>
      <c r="CA25" s="19">
        <v>57.719384595440538</v>
      </c>
      <c r="CB25" s="19">
        <v>57.719384595440538</v>
      </c>
      <c r="CC25" s="19">
        <v>57.719384595440538</v>
      </c>
      <c r="CD25" s="19">
        <v>57.719384595440538</v>
      </c>
      <c r="CE25" s="19">
        <v>57.719384595440538</v>
      </c>
      <c r="CF25" s="19">
        <v>57.719384595440538</v>
      </c>
      <c r="CG25" s="19">
        <v>57.719384595440538</v>
      </c>
      <c r="CH25" s="19">
        <v>57.719384595440538</v>
      </c>
      <c r="CI25" s="19">
        <v>57.719384595440538</v>
      </c>
      <c r="CJ25" s="19">
        <v>57.719384595440538</v>
      </c>
      <c r="CK25" s="19">
        <v>57.719384595440538</v>
      </c>
      <c r="CL25" s="19">
        <v>57.719384595440538</v>
      </c>
      <c r="CM25" s="19">
        <v>57.719384595440538</v>
      </c>
      <c r="CN25" s="19">
        <v>57.719384595440538</v>
      </c>
      <c r="CO25" s="19">
        <v>57.719384595440538</v>
      </c>
    </row>
    <row r="26" spans="1:93" x14ac:dyDescent="0.2">
      <c r="A26" s="4" t="s">
        <v>64</v>
      </c>
      <c r="B26" s="29" t="s">
        <v>44</v>
      </c>
      <c r="C26" s="19">
        <v>48.280484386612912</v>
      </c>
      <c r="D26" s="19">
        <v>49.483696761773317</v>
      </c>
      <c r="E26" s="19">
        <v>51.087979928653866</v>
      </c>
      <c r="F26" s="19">
        <v>52.6922630955344</v>
      </c>
      <c r="G26" s="19">
        <v>53.895475470694805</v>
      </c>
      <c r="H26" s="19">
        <v>55.499758637575354</v>
      </c>
      <c r="I26" s="19">
        <v>56.702971012735759</v>
      </c>
      <c r="J26" s="19">
        <v>58.307254179616308</v>
      </c>
      <c r="K26" s="19">
        <v>59.911537346496843</v>
      </c>
      <c r="L26" s="19">
        <v>61.114749721657262</v>
      </c>
      <c r="M26" s="19">
        <v>62.719032888537811</v>
      </c>
      <c r="N26" s="19">
        <v>62.719032888537811</v>
      </c>
      <c r="O26" s="19">
        <v>62.719032888537811</v>
      </c>
      <c r="P26" s="19">
        <v>62.719032888537811</v>
      </c>
      <c r="Q26" s="19">
        <v>62.719032888537811</v>
      </c>
      <c r="R26" s="19">
        <v>62.719032888537811</v>
      </c>
      <c r="S26" s="19">
        <v>62.719032888537811</v>
      </c>
      <c r="T26" s="19">
        <v>62.719032888537811</v>
      </c>
      <c r="U26" s="19">
        <v>62.719032888537811</v>
      </c>
      <c r="V26" s="19">
        <v>62.719032888537811</v>
      </c>
      <c r="W26" s="26">
        <v>62.719032888537811</v>
      </c>
      <c r="X26" s="19">
        <v>62.719032888537811</v>
      </c>
      <c r="Y26" s="19">
        <v>62.719032888537811</v>
      </c>
      <c r="Z26" s="19">
        <v>62.719032888537811</v>
      </c>
      <c r="AA26" s="19">
        <v>62.719032888537811</v>
      </c>
      <c r="AB26" s="19">
        <v>62.719032888537811</v>
      </c>
      <c r="AC26" s="19">
        <v>62.719032888537811</v>
      </c>
      <c r="AD26" s="19">
        <v>62.719032888537811</v>
      </c>
      <c r="AE26" s="19">
        <v>62.719032888537811</v>
      </c>
      <c r="AF26" s="19">
        <v>62.719032888537811</v>
      </c>
      <c r="AG26" s="19">
        <v>62.719032888537811</v>
      </c>
      <c r="AH26" s="19">
        <v>62.719032888537811</v>
      </c>
      <c r="AI26" s="19">
        <v>62.719032888537811</v>
      </c>
      <c r="AJ26" s="19">
        <v>62.719032888537811</v>
      </c>
      <c r="AK26" s="19">
        <v>62.719032888537811</v>
      </c>
      <c r="AL26" s="19">
        <v>62.719032888537811</v>
      </c>
      <c r="AM26" s="19">
        <v>62.719032888537811</v>
      </c>
      <c r="AN26" s="19">
        <v>62.719032888537811</v>
      </c>
      <c r="AO26" s="19">
        <v>62.719032888537811</v>
      </c>
      <c r="AP26" s="19">
        <v>62.719032888537811</v>
      </c>
      <c r="AQ26" s="19">
        <v>62.719032888537811</v>
      </c>
      <c r="AR26" s="19">
        <v>62.719032888537811</v>
      </c>
      <c r="AS26" s="19">
        <v>62.719032888537811</v>
      </c>
      <c r="AT26" s="19">
        <v>62.719032888537811</v>
      </c>
      <c r="AU26" s="19">
        <v>62.719032888537811</v>
      </c>
      <c r="AV26" s="19">
        <v>62.719032888537811</v>
      </c>
      <c r="AW26" s="19">
        <v>62.719032888537811</v>
      </c>
      <c r="AX26" s="19">
        <v>62.719032888537811</v>
      </c>
      <c r="AY26" s="19">
        <v>62.719032888537811</v>
      </c>
      <c r="AZ26" s="19">
        <v>62.719032888537811</v>
      </c>
      <c r="BA26" s="19">
        <v>62.719032888537811</v>
      </c>
      <c r="BB26" s="19">
        <v>62.719032888537811</v>
      </c>
      <c r="BC26" s="19">
        <v>62.719032888537811</v>
      </c>
      <c r="BD26" s="19">
        <v>62.719032888537811</v>
      </c>
      <c r="BE26" s="19">
        <v>62.719032888537811</v>
      </c>
      <c r="BF26" s="19">
        <v>62.719032888537811</v>
      </c>
      <c r="BG26" s="19">
        <v>62.719032888537811</v>
      </c>
      <c r="BH26" s="19">
        <v>62.719032888537811</v>
      </c>
      <c r="BI26" s="19">
        <v>62.719032888537811</v>
      </c>
      <c r="BJ26" s="19">
        <v>62.719032888537811</v>
      </c>
      <c r="BK26" s="19">
        <v>62.719032888537811</v>
      </c>
      <c r="BL26" s="19">
        <v>62.719032888537811</v>
      </c>
      <c r="BM26" s="19">
        <v>62.719032888537811</v>
      </c>
      <c r="BN26" s="19">
        <v>62.719032888537811</v>
      </c>
      <c r="BO26" s="19">
        <v>62.719032888537811</v>
      </c>
      <c r="BP26" s="19">
        <v>62.719032888537811</v>
      </c>
      <c r="BQ26" s="19">
        <v>62.719032888537811</v>
      </c>
      <c r="BR26" s="19">
        <v>62.719032888537811</v>
      </c>
      <c r="BS26" s="19">
        <v>62.719032888537811</v>
      </c>
      <c r="BT26" s="19">
        <v>62.719032888537811</v>
      </c>
      <c r="BU26" s="19">
        <v>62.719032888537811</v>
      </c>
      <c r="BV26" s="19">
        <v>62.719032888537811</v>
      </c>
      <c r="BW26" s="19">
        <v>62.719032888537811</v>
      </c>
      <c r="BX26" s="19">
        <v>62.719032888537811</v>
      </c>
      <c r="BY26" s="19">
        <v>62.719032888537811</v>
      </c>
      <c r="BZ26" s="19">
        <v>62.719032888537811</v>
      </c>
      <c r="CA26" s="19">
        <v>62.719032888537811</v>
      </c>
      <c r="CB26" s="19">
        <v>62.719032888537811</v>
      </c>
      <c r="CC26" s="19">
        <v>62.719032888537811</v>
      </c>
      <c r="CD26" s="19">
        <v>62.719032888537811</v>
      </c>
      <c r="CE26" s="19">
        <v>62.719032888537811</v>
      </c>
      <c r="CF26" s="19">
        <v>62.719032888537811</v>
      </c>
      <c r="CG26" s="19">
        <v>62.719032888537811</v>
      </c>
      <c r="CH26" s="19">
        <v>62.719032888537811</v>
      </c>
      <c r="CI26" s="19">
        <v>62.719032888537811</v>
      </c>
      <c r="CJ26" s="19">
        <v>62.719032888537811</v>
      </c>
      <c r="CK26" s="19">
        <v>62.719032888537811</v>
      </c>
      <c r="CL26" s="19">
        <v>62.719032888537811</v>
      </c>
      <c r="CM26" s="19">
        <v>62.719032888537811</v>
      </c>
      <c r="CN26" s="19">
        <v>62.719032888537811</v>
      </c>
      <c r="CO26" s="19">
        <v>62.719032888537811</v>
      </c>
    </row>
    <row r="27" spans="1:93" x14ac:dyDescent="0.2">
      <c r="A27" s="4" t="s">
        <v>65</v>
      </c>
      <c r="B27" s="29" t="s">
        <v>44</v>
      </c>
      <c r="C27" s="19">
        <v>45.562582804348537</v>
      </c>
      <c r="D27" s="19">
        <v>46.765795179508928</v>
      </c>
      <c r="E27" s="19">
        <v>48.370078346389477</v>
      </c>
      <c r="F27" s="19">
        <v>49.974361513270026</v>
      </c>
      <c r="G27" s="19">
        <v>51.17757388843043</v>
      </c>
      <c r="H27" s="19">
        <v>52.781857055310965</v>
      </c>
      <c r="I27" s="19">
        <v>53.985069430471384</v>
      </c>
      <c r="J27" s="19">
        <v>55.589352597351919</v>
      </c>
      <c r="K27" s="19">
        <v>57.193635764232468</v>
      </c>
      <c r="L27" s="19">
        <v>58.396848139392873</v>
      </c>
      <c r="M27" s="19">
        <v>60.001131306273422</v>
      </c>
      <c r="N27" s="19">
        <v>60.001131306273422</v>
      </c>
      <c r="O27" s="19">
        <v>60.001131306273422</v>
      </c>
      <c r="P27" s="19">
        <v>60.001131306273422</v>
      </c>
      <c r="Q27" s="19">
        <v>60.001131306273422</v>
      </c>
      <c r="R27" s="19">
        <v>60.001131306273422</v>
      </c>
      <c r="S27" s="19">
        <v>60.001131306273422</v>
      </c>
      <c r="T27" s="19">
        <v>60.001131306273422</v>
      </c>
      <c r="U27" s="19">
        <v>60.001131306273422</v>
      </c>
      <c r="V27" s="19">
        <v>60.001131306273422</v>
      </c>
      <c r="W27" s="26">
        <v>60.001131306273422</v>
      </c>
      <c r="X27" s="19">
        <v>60.001131306273422</v>
      </c>
      <c r="Y27" s="19">
        <v>60.001131306273422</v>
      </c>
      <c r="Z27" s="19">
        <v>60.001131306273422</v>
      </c>
      <c r="AA27" s="19">
        <v>60.001131306273422</v>
      </c>
      <c r="AB27" s="19">
        <v>60.001131306273422</v>
      </c>
      <c r="AC27" s="19">
        <v>60.001131306273422</v>
      </c>
      <c r="AD27" s="19">
        <v>60.001131306273422</v>
      </c>
      <c r="AE27" s="19">
        <v>60.001131306273422</v>
      </c>
      <c r="AF27" s="19">
        <v>60.001131306273422</v>
      </c>
      <c r="AG27" s="19">
        <v>60.001131306273422</v>
      </c>
      <c r="AH27" s="19">
        <v>60.001131306273422</v>
      </c>
      <c r="AI27" s="19">
        <v>60.001131306273422</v>
      </c>
      <c r="AJ27" s="19">
        <v>60.001131306273422</v>
      </c>
      <c r="AK27" s="19">
        <v>60.001131306273422</v>
      </c>
      <c r="AL27" s="19">
        <v>60.001131306273422</v>
      </c>
      <c r="AM27" s="19">
        <v>60.001131306273422</v>
      </c>
      <c r="AN27" s="19">
        <v>60.001131306273422</v>
      </c>
      <c r="AO27" s="19">
        <v>60.001131306273422</v>
      </c>
      <c r="AP27" s="19">
        <v>60.001131306273422</v>
      </c>
      <c r="AQ27" s="19">
        <v>60.001131306273422</v>
      </c>
      <c r="AR27" s="19">
        <v>60.001131306273422</v>
      </c>
      <c r="AS27" s="19">
        <v>60.001131306273422</v>
      </c>
      <c r="AT27" s="19">
        <v>60.001131306273422</v>
      </c>
      <c r="AU27" s="19">
        <v>60.001131306273422</v>
      </c>
      <c r="AV27" s="19">
        <v>60.001131306273422</v>
      </c>
      <c r="AW27" s="19">
        <v>60.001131306273422</v>
      </c>
      <c r="AX27" s="19">
        <v>60.001131306273422</v>
      </c>
      <c r="AY27" s="19">
        <v>60.001131306273422</v>
      </c>
      <c r="AZ27" s="19">
        <v>60.001131306273422</v>
      </c>
      <c r="BA27" s="19">
        <v>60.001131306273422</v>
      </c>
      <c r="BB27" s="19">
        <v>60.001131306273422</v>
      </c>
      <c r="BC27" s="19">
        <v>60.001131306273422</v>
      </c>
      <c r="BD27" s="19">
        <v>60.001131306273422</v>
      </c>
      <c r="BE27" s="19">
        <v>60.001131306273422</v>
      </c>
      <c r="BF27" s="19">
        <v>60.001131306273422</v>
      </c>
      <c r="BG27" s="19">
        <v>60.001131306273422</v>
      </c>
      <c r="BH27" s="19">
        <v>60.001131306273422</v>
      </c>
      <c r="BI27" s="19">
        <v>60.001131306273422</v>
      </c>
      <c r="BJ27" s="19">
        <v>60.001131306273422</v>
      </c>
      <c r="BK27" s="19">
        <v>60.001131306273422</v>
      </c>
      <c r="BL27" s="19">
        <v>60.001131306273422</v>
      </c>
      <c r="BM27" s="19">
        <v>60.001131306273422</v>
      </c>
      <c r="BN27" s="19">
        <v>60.001131306273422</v>
      </c>
      <c r="BO27" s="19">
        <v>60.001131306273422</v>
      </c>
      <c r="BP27" s="19">
        <v>60.001131306273422</v>
      </c>
      <c r="BQ27" s="19">
        <v>60.001131306273422</v>
      </c>
      <c r="BR27" s="19">
        <v>60.001131306273422</v>
      </c>
      <c r="BS27" s="19">
        <v>60.001131306273422</v>
      </c>
      <c r="BT27" s="19">
        <v>60.001131306273422</v>
      </c>
      <c r="BU27" s="19">
        <v>60.001131306273422</v>
      </c>
      <c r="BV27" s="19">
        <v>60.001131306273422</v>
      </c>
      <c r="BW27" s="19">
        <v>60.001131306273422</v>
      </c>
      <c r="BX27" s="19">
        <v>60.001131306273422</v>
      </c>
      <c r="BY27" s="19">
        <v>60.001131306273422</v>
      </c>
      <c r="BZ27" s="19">
        <v>60.001131306273422</v>
      </c>
      <c r="CA27" s="19">
        <v>60.001131306273422</v>
      </c>
      <c r="CB27" s="19">
        <v>60.001131306273422</v>
      </c>
      <c r="CC27" s="19">
        <v>60.001131306273422</v>
      </c>
      <c r="CD27" s="19">
        <v>60.001131306273422</v>
      </c>
      <c r="CE27" s="19">
        <v>60.001131306273422</v>
      </c>
      <c r="CF27" s="19">
        <v>60.001131306273422</v>
      </c>
      <c r="CG27" s="19">
        <v>60.001131306273422</v>
      </c>
      <c r="CH27" s="19">
        <v>60.001131306273422</v>
      </c>
      <c r="CI27" s="19">
        <v>60.001131306273422</v>
      </c>
      <c r="CJ27" s="19">
        <v>60.001131306273422</v>
      </c>
      <c r="CK27" s="19">
        <v>60.001131306273422</v>
      </c>
      <c r="CL27" s="19">
        <v>60.001131306273422</v>
      </c>
      <c r="CM27" s="19">
        <v>60.001131306273422</v>
      </c>
      <c r="CN27" s="19">
        <v>60.001131306273422</v>
      </c>
      <c r="CO27" s="19">
        <v>60.001131306273422</v>
      </c>
    </row>
    <row r="28" spans="1:93" s="6" customFormat="1" x14ac:dyDescent="0.2">
      <c r="A28" s="4" t="s">
        <v>66</v>
      </c>
      <c r="B28" s="29" t="s">
        <v>44</v>
      </c>
      <c r="C28" s="19">
        <v>38.506461097763967</v>
      </c>
      <c r="D28" s="19">
        <v>39.628492878937649</v>
      </c>
      <c r="E28" s="19">
        <v>41.124535253835887</v>
      </c>
      <c r="F28" s="19">
        <v>42.620577628734125</v>
      </c>
      <c r="G28" s="19">
        <v>43.7426094099078</v>
      </c>
      <c r="H28" s="19">
        <v>45.238651784806038</v>
      </c>
      <c r="I28" s="19">
        <v>46.360683565979727</v>
      </c>
      <c r="J28" s="19">
        <v>47.856725940877965</v>
      </c>
      <c r="K28" s="19">
        <v>49.352768315776203</v>
      </c>
      <c r="L28" s="19">
        <v>50.474800096949892</v>
      </c>
      <c r="M28" s="19">
        <v>51.97084247184813</v>
      </c>
      <c r="N28" s="19">
        <v>51.97084247184813</v>
      </c>
      <c r="O28" s="19">
        <v>51.97084247184813</v>
      </c>
      <c r="P28" s="19">
        <v>51.97084247184813</v>
      </c>
      <c r="Q28" s="19">
        <v>51.97084247184813</v>
      </c>
      <c r="R28" s="19">
        <v>51.97084247184813</v>
      </c>
      <c r="S28" s="19">
        <v>51.97084247184813</v>
      </c>
      <c r="T28" s="19">
        <v>51.97084247184813</v>
      </c>
      <c r="U28" s="19">
        <v>51.97084247184813</v>
      </c>
      <c r="V28" s="19">
        <v>51.97084247184813</v>
      </c>
      <c r="W28" s="26">
        <v>51.97084247184813</v>
      </c>
      <c r="X28" s="19">
        <v>51.97084247184813</v>
      </c>
      <c r="Y28" s="19">
        <v>51.97084247184813</v>
      </c>
      <c r="Z28" s="19">
        <v>51.97084247184813</v>
      </c>
      <c r="AA28" s="19">
        <v>51.97084247184813</v>
      </c>
      <c r="AB28" s="19">
        <v>51.97084247184813</v>
      </c>
      <c r="AC28" s="19">
        <v>51.97084247184813</v>
      </c>
      <c r="AD28" s="19">
        <v>51.97084247184813</v>
      </c>
      <c r="AE28" s="19">
        <v>51.97084247184813</v>
      </c>
      <c r="AF28" s="19">
        <v>51.97084247184813</v>
      </c>
      <c r="AG28" s="19">
        <v>51.97084247184813</v>
      </c>
      <c r="AH28" s="19">
        <v>51.97084247184813</v>
      </c>
      <c r="AI28" s="19">
        <v>51.97084247184813</v>
      </c>
      <c r="AJ28" s="19">
        <v>51.97084247184813</v>
      </c>
      <c r="AK28" s="19">
        <v>51.97084247184813</v>
      </c>
      <c r="AL28" s="19">
        <v>51.97084247184813</v>
      </c>
      <c r="AM28" s="19">
        <v>51.97084247184813</v>
      </c>
      <c r="AN28" s="19">
        <v>51.97084247184813</v>
      </c>
      <c r="AO28" s="19">
        <v>51.97084247184813</v>
      </c>
      <c r="AP28" s="19">
        <v>51.97084247184813</v>
      </c>
      <c r="AQ28" s="19">
        <v>51.97084247184813</v>
      </c>
      <c r="AR28" s="19">
        <v>51.97084247184813</v>
      </c>
      <c r="AS28" s="19">
        <v>51.97084247184813</v>
      </c>
      <c r="AT28" s="19">
        <v>51.97084247184813</v>
      </c>
      <c r="AU28" s="19">
        <v>51.97084247184813</v>
      </c>
      <c r="AV28" s="19">
        <v>51.97084247184813</v>
      </c>
      <c r="AW28" s="19">
        <v>51.97084247184813</v>
      </c>
      <c r="AX28" s="19">
        <v>51.97084247184813</v>
      </c>
      <c r="AY28" s="19">
        <v>51.97084247184813</v>
      </c>
      <c r="AZ28" s="19">
        <v>51.97084247184813</v>
      </c>
      <c r="BA28" s="19">
        <v>51.97084247184813</v>
      </c>
      <c r="BB28" s="19">
        <v>51.97084247184813</v>
      </c>
      <c r="BC28" s="19">
        <v>51.97084247184813</v>
      </c>
      <c r="BD28" s="19">
        <v>51.97084247184813</v>
      </c>
      <c r="BE28" s="19">
        <v>51.97084247184813</v>
      </c>
      <c r="BF28" s="19">
        <v>51.97084247184813</v>
      </c>
      <c r="BG28" s="19">
        <v>51.97084247184813</v>
      </c>
      <c r="BH28" s="19">
        <v>51.97084247184813</v>
      </c>
      <c r="BI28" s="19">
        <v>51.97084247184813</v>
      </c>
      <c r="BJ28" s="19">
        <v>51.97084247184813</v>
      </c>
      <c r="BK28" s="19">
        <v>51.97084247184813</v>
      </c>
      <c r="BL28" s="19">
        <v>51.97084247184813</v>
      </c>
      <c r="BM28" s="19">
        <v>51.97084247184813</v>
      </c>
      <c r="BN28" s="19">
        <v>51.97084247184813</v>
      </c>
      <c r="BO28" s="19">
        <v>51.97084247184813</v>
      </c>
      <c r="BP28" s="19">
        <v>51.97084247184813</v>
      </c>
      <c r="BQ28" s="19">
        <v>51.97084247184813</v>
      </c>
      <c r="BR28" s="19">
        <v>51.97084247184813</v>
      </c>
      <c r="BS28" s="19">
        <v>51.97084247184813</v>
      </c>
      <c r="BT28" s="19">
        <v>51.97084247184813</v>
      </c>
      <c r="BU28" s="19">
        <v>51.97084247184813</v>
      </c>
      <c r="BV28" s="19">
        <v>51.97084247184813</v>
      </c>
      <c r="BW28" s="19">
        <v>51.97084247184813</v>
      </c>
      <c r="BX28" s="19">
        <v>51.97084247184813</v>
      </c>
      <c r="BY28" s="19">
        <v>51.97084247184813</v>
      </c>
      <c r="BZ28" s="19">
        <v>51.97084247184813</v>
      </c>
      <c r="CA28" s="19">
        <v>51.97084247184813</v>
      </c>
      <c r="CB28" s="19">
        <v>51.97084247184813</v>
      </c>
      <c r="CC28" s="19">
        <v>51.97084247184813</v>
      </c>
      <c r="CD28" s="19">
        <v>51.97084247184813</v>
      </c>
      <c r="CE28" s="19">
        <v>51.97084247184813</v>
      </c>
      <c r="CF28" s="19">
        <v>51.97084247184813</v>
      </c>
      <c r="CG28" s="19">
        <v>51.97084247184813</v>
      </c>
      <c r="CH28" s="19">
        <v>51.97084247184813</v>
      </c>
      <c r="CI28" s="19">
        <v>51.97084247184813</v>
      </c>
      <c r="CJ28" s="19">
        <v>51.97084247184813</v>
      </c>
      <c r="CK28" s="19">
        <v>51.97084247184813</v>
      </c>
      <c r="CL28" s="19">
        <v>51.97084247184813</v>
      </c>
      <c r="CM28" s="19">
        <v>51.97084247184813</v>
      </c>
      <c r="CN28" s="19">
        <v>51.97084247184813</v>
      </c>
      <c r="CO28" s="19">
        <v>51.97084247184813</v>
      </c>
    </row>
    <row r="29" spans="1:93" s="6" customFormat="1" x14ac:dyDescent="0.2">
      <c r="A29" s="4" t="s">
        <v>67</v>
      </c>
      <c r="B29" s="29" t="s">
        <v>44</v>
      </c>
      <c r="C29" s="19">
        <v>36.432984386612915</v>
      </c>
      <c r="D29" s="19">
        <v>37.636196761773313</v>
      </c>
      <c r="E29" s="19">
        <v>39.240479928653862</v>
      </c>
      <c r="F29" s="19">
        <v>40.844763095534404</v>
      </c>
      <c r="G29" s="19">
        <v>42.047975470694809</v>
      </c>
      <c r="H29" s="19">
        <v>43.652258637575351</v>
      </c>
      <c r="I29" s="19">
        <v>44.855471012735762</v>
      </c>
      <c r="J29" s="19">
        <v>46.459754179616304</v>
      </c>
      <c r="K29" s="19">
        <v>48.064037346496846</v>
      </c>
      <c r="L29" s="19">
        <v>49.267249721657258</v>
      </c>
      <c r="M29" s="19">
        <v>50.871532888537807</v>
      </c>
      <c r="N29" s="19">
        <v>50.871532888537807</v>
      </c>
      <c r="O29" s="19">
        <v>50.871532888537807</v>
      </c>
      <c r="P29" s="19">
        <v>50.871532888537807</v>
      </c>
      <c r="Q29" s="19">
        <v>50.871532888537807</v>
      </c>
      <c r="R29" s="19">
        <v>50.871532888537807</v>
      </c>
      <c r="S29" s="19">
        <v>50.871532888537807</v>
      </c>
      <c r="T29" s="19">
        <v>50.871532888537807</v>
      </c>
      <c r="U29" s="19">
        <v>50.871532888537807</v>
      </c>
      <c r="V29" s="19">
        <v>50.871532888537807</v>
      </c>
      <c r="W29" s="26">
        <v>50.871532888537807</v>
      </c>
      <c r="X29" s="19">
        <v>50.871532888537807</v>
      </c>
      <c r="Y29" s="19">
        <v>50.871532888537807</v>
      </c>
      <c r="Z29" s="19">
        <v>50.871532888537807</v>
      </c>
      <c r="AA29" s="19">
        <v>50.871532888537807</v>
      </c>
      <c r="AB29" s="19">
        <v>50.871532888537807</v>
      </c>
      <c r="AC29" s="19">
        <v>50.871532888537807</v>
      </c>
      <c r="AD29" s="19">
        <v>50.871532888537807</v>
      </c>
      <c r="AE29" s="19">
        <v>50.871532888537807</v>
      </c>
      <c r="AF29" s="19">
        <v>50.871532888537807</v>
      </c>
      <c r="AG29" s="19">
        <v>50.871532888537807</v>
      </c>
      <c r="AH29" s="19">
        <v>50.871532888537807</v>
      </c>
      <c r="AI29" s="19">
        <v>50.871532888537807</v>
      </c>
      <c r="AJ29" s="19">
        <v>50.871532888537807</v>
      </c>
      <c r="AK29" s="19">
        <v>50.871532888537807</v>
      </c>
      <c r="AL29" s="19">
        <v>50.871532888537807</v>
      </c>
      <c r="AM29" s="19">
        <v>50.871532888537807</v>
      </c>
      <c r="AN29" s="19">
        <v>50.871532888537807</v>
      </c>
      <c r="AO29" s="19">
        <v>50.871532888537807</v>
      </c>
      <c r="AP29" s="19">
        <v>50.871532888537807</v>
      </c>
      <c r="AQ29" s="19">
        <v>50.871532888537807</v>
      </c>
      <c r="AR29" s="19">
        <v>50.871532888537807</v>
      </c>
      <c r="AS29" s="19">
        <v>50.871532888537807</v>
      </c>
      <c r="AT29" s="19">
        <v>50.871532888537807</v>
      </c>
      <c r="AU29" s="19">
        <v>50.871532888537807</v>
      </c>
      <c r="AV29" s="19">
        <v>50.871532888537807</v>
      </c>
      <c r="AW29" s="19">
        <v>50.871532888537807</v>
      </c>
      <c r="AX29" s="19">
        <v>50.871532888537807</v>
      </c>
      <c r="AY29" s="19">
        <v>50.871532888537807</v>
      </c>
      <c r="AZ29" s="19">
        <v>50.871532888537807</v>
      </c>
      <c r="BA29" s="19">
        <v>50.871532888537807</v>
      </c>
      <c r="BB29" s="19">
        <v>50.871532888537807</v>
      </c>
      <c r="BC29" s="19">
        <v>50.871532888537807</v>
      </c>
      <c r="BD29" s="19">
        <v>50.871532888537807</v>
      </c>
      <c r="BE29" s="19">
        <v>50.871532888537807</v>
      </c>
      <c r="BF29" s="19">
        <v>50.871532888537807</v>
      </c>
      <c r="BG29" s="19">
        <v>50.871532888537807</v>
      </c>
      <c r="BH29" s="19">
        <v>50.871532888537807</v>
      </c>
      <c r="BI29" s="19">
        <v>50.871532888537807</v>
      </c>
      <c r="BJ29" s="19">
        <v>50.871532888537807</v>
      </c>
      <c r="BK29" s="19">
        <v>50.871532888537807</v>
      </c>
      <c r="BL29" s="19">
        <v>50.871532888537807</v>
      </c>
      <c r="BM29" s="19">
        <v>50.871532888537807</v>
      </c>
      <c r="BN29" s="19">
        <v>50.871532888537807</v>
      </c>
      <c r="BO29" s="19">
        <v>50.871532888537807</v>
      </c>
      <c r="BP29" s="19">
        <v>50.871532888537807</v>
      </c>
      <c r="BQ29" s="19">
        <v>50.871532888537807</v>
      </c>
      <c r="BR29" s="19">
        <v>50.871532888537807</v>
      </c>
      <c r="BS29" s="19">
        <v>50.871532888537807</v>
      </c>
      <c r="BT29" s="19">
        <v>50.871532888537807</v>
      </c>
      <c r="BU29" s="19">
        <v>50.871532888537807</v>
      </c>
      <c r="BV29" s="19">
        <v>50.871532888537807</v>
      </c>
      <c r="BW29" s="19">
        <v>50.871532888537807</v>
      </c>
      <c r="BX29" s="19">
        <v>50.871532888537807</v>
      </c>
      <c r="BY29" s="19">
        <v>50.871532888537807</v>
      </c>
      <c r="BZ29" s="19">
        <v>50.871532888537807</v>
      </c>
      <c r="CA29" s="19">
        <v>50.871532888537807</v>
      </c>
      <c r="CB29" s="19">
        <v>50.871532888537807</v>
      </c>
      <c r="CC29" s="19">
        <v>50.871532888537807</v>
      </c>
      <c r="CD29" s="19">
        <v>50.871532888537807</v>
      </c>
      <c r="CE29" s="19">
        <v>50.871532888537807</v>
      </c>
      <c r="CF29" s="19">
        <v>50.871532888537807</v>
      </c>
      <c r="CG29" s="19">
        <v>50.871532888537807</v>
      </c>
      <c r="CH29" s="19">
        <v>50.871532888537807</v>
      </c>
      <c r="CI29" s="19">
        <v>50.871532888537807</v>
      </c>
      <c r="CJ29" s="19">
        <v>50.871532888537807</v>
      </c>
      <c r="CK29" s="19">
        <v>50.871532888537807</v>
      </c>
      <c r="CL29" s="19">
        <v>50.871532888537807</v>
      </c>
      <c r="CM29" s="19">
        <v>50.871532888537807</v>
      </c>
      <c r="CN29" s="19">
        <v>50.871532888537807</v>
      </c>
      <c r="CO29" s="19">
        <v>50.871532888537807</v>
      </c>
    </row>
    <row r="30" spans="1:93" s="6" customFormat="1" x14ac:dyDescent="0.2">
      <c r="A30" s="4" t="s">
        <v>68</v>
      </c>
      <c r="B30" s="29" t="s">
        <v>44</v>
      </c>
      <c r="C30" s="19">
        <v>32.715082804348533</v>
      </c>
      <c r="D30" s="19">
        <v>33.918295179508931</v>
      </c>
      <c r="E30" s="19">
        <v>35.52257834638948</v>
      </c>
      <c r="F30" s="19">
        <v>37.126861513270022</v>
      </c>
      <c r="G30" s="19">
        <v>38.330073888430427</v>
      </c>
      <c r="H30" s="19">
        <v>39.934357055310969</v>
      </c>
      <c r="I30" s="19">
        <v>41.13756943047138</v>
      </c>
      <c r="J30" s="19">
        <v>42.741852597351922</v>
      </c>
      <c r="K30" s="19">
        <v>44.346135764232464</v>
      </c>
      <c r="L30" s="19">
        <v>45.549348139392876</v>
      </c>
      <c r="M30" s="19">
        <v>47.153631306273425</v>
      </c>
      <c r="N30" s="19">
        <v>47.153631306273425</v>
      </c>
      <c r="O30" s="19">
        <v>47.153631306273425</v>
      </c>
      <c r="P30" s="19">
        <v>47.153631306273425</v>
      </c>
      <c r="Q30" s="19">
        <v>47.153631306273425</v>
      </c>
      <c r="R30" s="19">
        <v>47.153631306273425</v>
      </c>
      <c r="S30" s="19">
        <v>47.153631306273425</v>
      </c>
      <c r="T30" s="19">
        <v>47.153631306273425</v>
      </c>
      <c r="U30" s="19">
        <v>47.153631306273425</v>
      </c>
      <c r="V30" s="19">
        <v>47.153631306273425</v>
      </c>
      <c r="W30" s="26">
        <v>47.153631306273425</v>
      </c>
      <c r="X30" s="19">
        <v>47.153631306273425</v>
      </c>
      <c r="Y30" s="19">
        <v>47.153631306273425</v>
      </c>
      <c r="Z30" s="19">
        <v>47.153631306273425</v>
      </c>
      <c r="AA30" s="19">
        <v>47.153631306273425</v>
      </c>
      <c r="AB30" s="19">
        <v>47.153631306273425</v>
      </c>
      <c r="AC30" s="19">
        <v>47.153631306273425</v>
      </c>
      <c r="AD30" s="19">
        <v>47.153631306273425</v>
      </c>
      <c r="AE30" s="19">
        <v>47.153631306273425</v>
      </c>
      <c r="AF30" s="19">
        <v>47.153631306273425</v>
      </c>
      <c r="AG30" s="19">
        <v>47.153631306273425</v>
      </c>
      <c r="AH30" s="19">
        <v>47.153631306273425</v>
      </c>
      <c r="AI30" s="19">
        <v>47.153631306273425</v>
      </c>
      <c r="AJ30" s="19">
        <v>47.153631306273425</v>
      </c>
      <c r="AK30" s="19">
        <v>47.153631306273425</v>
      </c>
      <c r="AL30" s="19">
        <v>47.153631306273425</v>
      </c>
      <c r="AM30" s="19">
        <v>47.153631306273425</v>
      </c>
      <c r="AN30" s="19">
        <v>47.153631306273425</v>
      </c>
      <c r="AO30" s="19">
        <v>47.153631306273425</v>
      </c>
      <c r="AP30" s="19">
        <v>47.153631306273425</v>
      </c>
      <c r="AQ30" s="19">
        <v>47.153631306273425</v>
      </c>
      <c r="AR30" s="19">
        <v>47.153631306273425</v>
      </c>
      <c r="AS30" s="19">
        <v>47.153631306273425</v>
      </c>
      <c r="AT30" s="19">
        <v>47.153631306273425</v>
      </c>
      <c r="AU30" s="19">
        <v>47.153631306273425</v>
      </c>
      <c r="AV30" s="19">
        <v>47.153631306273425</v>
      </c>
      <c r="AW30" s="19">
        <v>47.153631306273425</v>
      </c>
      <c r="AX30" s="19">
        <v>47.153631306273425</v>
      </c>
      <c r="AY30" s="19">
        <v>47.153631306273425</v>
      </c>
      <c r="AZ30" s="19">
        <v>47.153631306273425</v>
      </c>
      <c r="BA30" s="19">
        <v>47.153631306273425</v>
      </c>
      <c r="BB30" s="19">
        <v>47.153631306273425</v>
      </c>
      <c r="BC30" s="19">
        <v>47.153631306273425</v>
      </c>
      <c r="BD30" s="19">
        <v>47.153631306273425</v>
      </c>
      <c r="BE30" s="19">
        <v>47.153631306273425</v>
      </c>
      <c r="BF30" s="19">
        <v>47.153631306273425</v>
      </c>
      <c r="BG30" s="19">
        <v>47.153631306273425</v>
      </c>
      <c r="BH30" s="19">
        <v>47.153631306273425</v>
      </c>
      <c r="BI30" s="19">
        <v>47.153631306273425</v>
      </c>
      <c r="BJ30" s="19">
        <v>47.153631306273425</v>
      </c>
      <c r="BK30" s="19">
        <v>47.153631306273425</v>
      </c>
      <c r="BL30" s="19">
        <v>47.153631306273425</v>
      </c>
      <c r="BM30" s="19">
        <v>47.153631306273425</v>
      </c>
      <c r="BN30" s="19">
        <v>47.153631306273425</v>
      </c>
      <c r="BO30" s="19">
        <v>47.153631306273425</v>
      </c>
      <c r="BP30" s="19">
        <v>47.153631306273425</v>
      </c>
      <c r="BQ30" s="19">
        <v>47.153631306273425</v>
      </c>
      <c r="BR30" s="19">
        <v>47.153631306273425</v>
      </c>
      <c r="BS30" s="19">
        <v>47.153631306273425</v>
      </c>
      <c r="BT30" s="19">
        <v>47.153631306273425</v>
      </c>
      <c r="BU30" s="19">
        <v>47.153631306273425</v>
      </c>
      <c r="BV30" s="19">
        <v>47.153631306273425</v>
      </c>
      <c r="BW30" s="19">
        <v>47.153631306273425</v>
      </c>
      <c r="BX30" s="19">
        <v>47.153631306273425</v>
      </c>
      <c r="BY30" s="19">
        <v>47.153631306273425</v>
      </c>
      <c r="BZ30" s="19">
        <v>47.153631306273425</v>
      </c>
      <c r="CA30" s="19">
        <v>47.153631306273425</v>
      </c>
      <c r="CB30" s="19">
        <v>47.153631306273425</v>
      </c>
      <c r="CC30" s="19">
        <v>47.153631306273425</v>
      </c>
      <c r="CD30" s="19">
        <v>47.153631306273425</v>
      </c>
      <c r="CE30" s="19">
        <v>47.153631306273425</v>
      </c>
      <c r="CF30" s="19">
        <v>47.153631306273425</v>
      </c>
      <c r="CG30" s="19">
        <v>47.153631306273425</v>
      </c>
      <c r="CH30" s="19">
        <v>47.153631306273425</v>
      </c>
      <c r="CI30" s="19">
        <v>47.153631306273425</v>
      </c>
      <c r="CJ30" s="19">
        <v>47.153631306273425</v>
      </c>
      <c r="CK30" s="19">
        <v>47.153631306273425</v>
      </c>
      <c r="CL30" s="19">
        <v>47.153631306273425</v>
      </c>
      <c r="CM30" s="19">
        <v>47.153631306273425</v>
      </c>
      <c r="CN30" s="19">
        <v>47.153631306273425</v>
      </c>
      <c r="CO30" s="19">
        <v>47.153631306273425</v>
      </c>
    </row>
    <row r="31" spans="1:93" x14ac:dyDescent="0.2">
      <c r="B31" s="21"/>
      <c r="C31" s="19"/>
      <c r="D31" s="19"/>
      <c r="E31" s="19"/>
      <c r="F31" s="19"/>
      <c r="G31" s="19"/>
      <c r="H31" s="19"/>
      <c r="I31" s="19"/>
      <c r="J31" s="19"/>
      <c r="K31" s="19"/>
      <c r="L31" s="19"/>
      <c r="M31" s="19"/>
      <c r="N31" s="19"/>
      <c r="O31" s="19"/>
      <c r="P31" s="19"/>
      <c r="Q31" s="19"/>
      <c r="R31" s="19"/>
      <c r="S31" s="19"/>
      <c r="T31" s="19"/>
      <c r="U31" s="19"/>
      <c r="V31" s="19"/>
      <c r="W31" s="26"/>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row>
    <row r="32" spans="1:93" x14ac:dyDescent="0.2">
      <c r="A32" s="4" t="s">
        <v>45</v>
      </c>
      <c r="B32" s="29" t="s">
        <v>44</v>
      </c>
      <c r="C32" s="19">
        <v>116.78252074378841</v>
      </c>
      <c r="D32" s="19">
        <v>120.99844762063431</v>
      </c>
      <c r="E32" s="19">
        <v>125.58411905005154</v>
      </c>
      <c r="F32" s="19">
        <v>128.92324790103237</v>
      </c>
      <c r="G32" s="19">
        <v>131.7753983356821</v>
      </c>
      <c r="H32" s="19">
        <v>133.76823334318456</v>
      </c>
      <c r="I32" s="19">
        <v>135.50141572371507</v>
      </c>
      <c r="J32" s="19">
        <v>137.23467210945878</v>
      </c>
      <c r="K32" s="19">
        <v>138.96800249185944</v>
      </c>
      <c r="L32" s="19">
        <v>140.70140686236476</v>
      </c>
      <c r="M32" s="19">
        <v>142.43488521242679</v>
      </c>
      <c r="N32" s="19">
        <v>142.41419430227171</v>
      </c>
      <c r="O32" s="19">
        <v>142.39352093263429</v>
      </c>
      <c r="P32" s="19">
        <v>142.37286509497898</v>
      </c>
      <c r="Q32" s="19">
        <v>142.35222678077434</v>
      </c>
      <c r="R32" s="19">
        <v>142.3316059814932</v>
      </c>
      <c r="S32" s="19">
        <v>142.31100268861249</v>
      </c>
      <c r="T32" s="19">
        <v>142.29041689361327</v>
      </c>
      <c r="U32" s="19">
        <v>142.26984858798073</v>
      </c>
      <c r="V32" s="19">
        <v>142.24929776320423</v>
      </c>
      <c r="W32" s="26">
        <v>142.22876441077736</v>
      </c>
      <c r="X32" s="19">
        <v>142.19289366862662</v>
      </c>
      <c r="Y32" s="19">
        <v>142.15704038182486</v>
      </c>
      <c r="Z32" s="19">
        <v>142.12120454187794</v>
      </c>
      <c r="AA32" s="19">
        <v>142.08538614029598</v>
      </c>
      <c r="AB32" s="19">
        <v>142.04958516859315</v>
      </c>
      <c r="AC32" s="19">
        <v>142.04958516859315</v>
      </c>
      <c r="AD32" s="19">
        <v>142.04958516859315</v>
      </c>
      <c r="AE32" s="19">
        <v>142.04958516859315</v>
      </c>
      <c r="AF32" s="19">
        <v>142.04958516859315</v>
      </c>
      <c r="AG32" s="19">
        <v>142.04958516859315</v>
      </c>
      <c r="AH32" s="19">
        <v>142.04958516859315</v>
      </c>
      <c r="AI32" s="19">
        <v>142.04958516859315</v>
      </c>
      <c r="AJ32" s="19">
        <v>142.04958516859315</v>
      </c>
      <c r="AK32" s="19">
        <v>142.04958516859315</v>
      </c>
      <c r="AL32" s="19">
        <v>142.04958516859315</v>
      </c>
      <c r="AM32" s="19">
        <v>142.04958516859315</v>
      </c>
      <c r="AN32" s="19">
        <v>142.04958516859315</v>
      </c>
      <c r="AO32" s="19">
        <v>142.04958516859315</v>
      </c>
      <c r="AP32" s="19">
        <v>142.04958516859315</v>
      </c>
      <c r="AQ32" s="19">
        <v>142.04958516859315</v>
      </c>
      <c r="AR32" s="19">
        <v>142.04958516859315</v>
      </c>
      <c r="AS32" s="19">
        <v>142.04958516859315</v>
      </c>
      <c r="AT32" s="19">
        <v>142.04958516859315</v>
      </c>
      <c r="AU32" s="19">
        <v>142.04958516859315</v>
      </c>
      <c r="AV32" s="19">
        <v>142.04958516859315</v>
      </c>
      <c r="AW32" s="19">
        <v>142.04958516859315</v>
      </c>
      <c r="AX32" s="19">
        <v>142.04958516859315</v>
      </c>
      <c r="AY32" s="19">
        <v>142.04958516859315</v>
      </c>
      <c r="AZ32" s="19">
        <v>142.04958516859315</v>
      </c>
      <c r="BA32" s="19">
        <v>142.04958516859315</v>
      </c>
      <c r="BB32" s="19">
        <v>142.04958516859315</v>
      </c>
      <c r="BC32" s="19">
        <v>142.04958516859315</v>
      </c>
      <c r="BD32" s="19">
        <v>142.04958516859315</v>
      </c>
      <c r="BE32" s="19">
        <v>142.04958516859315</v>
      </c>
      <c r="BF32" s="19">
        <v>142.04958516859315</v>
      </c>
      <c r="BG32" s="19">
        <v>142.04958516859315</v>
      </c>
      <c r="BH32" s="19">
        <v>142.04958516859315</v>
      </c>
      <c r="BI32" s="19">
        <v>142.04958516859315</v>
      </c>
      <c r="BJ32" s="19">
        <v>142.04958516859315</v>
      </c>
      <c r="BK32" s="19">
        <v>142.04958516859315</v>
      </c>
      <c r="BL32" s="19">
        <v>142.04958516859315</v>
      </c>
      <c r="BM32" s="19">
        <v>142.04958516859315</v>
      </c>
      <c r="BN32" s="19">
        <v>142.04958516859315</v>
      </c>
      <c r="BO32" s="19">
        <v>142.04958516859315</v>
      </c>
      <c r="BP32" s="19">
        <v>142.04958516859315</v>
      </c>
      <c r="BQ32" s="19">
        <v>142.04958516859315</v>
      </c>
      <c r="BR32" s="19">
        <v>142.04958516859315</v>
      </c>
      <c r="BS32" s="19">
        <v>142.04958516859315</v>
      </c>
      <c r="BT32" s="19">
        <v>142.04958516859315</v>
      </c>
      <c r="BU32" s="19">
        <v>142.04958516859315</v>
      </c>
      <c r="BV32" s="19">
        <v>142.04958516859315</v>
      </c>
      <c r="BW32" s="19">
        <v>142.04958516859315</v>
      </c>
      <c r="BX32" s="19">
        <v>142.04958516859315</v>
      </c>
      <c r="BY32" s="19">
        <v>142.04958516859315</v>
      </c>
      <c r="BZ32" s="19">
        <v>142.04958516859315</v>
      </c>
      <c r="CA32" s="19">
        <v>142.04958516859315</v>
      </c>
      <c r="CB32" s="19">
        <v>142.04958516859315</v>
      </c>
      <c r="CC32" s="19">
        <v>142.04958516859315</v>
      </c>
      <c r="CD32" s="19">
        <v>142.04958516859315</v>
      </c>
      <c r="CE32" s="19">
        <v>142.04958516859315</v>
      </c>
      <c r="CF32" s="19">
        <v>142.04958516859315</v>
      </c>
      <c r="CG32" s="19">
        <v>142.04958516859315</v>
      </c>
      <c r="CH32" s="19">
        <v>142.04958516859315</v>
      </c>
      <c r="CI32" s="19">
        <v>142.04958516859315</v>
      </c>
      <c r="CJ32" s="19">
        <v>142.04958516859315</v>
      </c>
      <c r="CK32" s="19">
        <v>142.04958516859315</v>
      </c>
      <c r="CL32" s="19">
        <v>142.04958516859315</v>
      </c>
      <c r="CM32" s="19">
        <v>142.04958516859315</v>
      </c>
      <c r="CN32" s="19">
        <v>142.04958516859315</v>
      </c>
      <c r="CO32" s="19">
        <v>142.04958516859315</v>
      </c>
    </row>
    <row r="33" spans="1:93" x14ac:dyDescent="0.2">
      <c r="A33" s="4" t="s">
        <v>46</v>
      </c>
      <c r="B33" s="29" t="s">
        <v>44</v>
      </c>
      <c r="C33" s="19">
        <v>122.20389137930781</v>
      </c>
      <c r="D33" s="19">
        <v>126.6565246783759</v>
      </c>
      <c r="E33" s="19">
        <v>131.47885744707582</v>
      </c>
      <c r="F33" s="19">
        <v>135.05426648894272</v>
      </c>
      <c r="G33" s="19">
        <v>138.14248562621461</v>
      </c>
      <c r="H33" s="19">
        <v>140.37099109995771</v>
      </c>
      <c r="I33" s="19">
        <v>142.33994438684701</v>
      </c>
      <c r="J33" s="19">
        <v>144.30847403034102</v>
      </c>
      <c r="K33" s="19">
        <v>146.277003673835</v>
      </c>
      <c r="L33" s="19">
        <v>148.24553331732901</v>
      </c>
      <c r="M33" s="19">
        <v>150.21547510547401</v>
      </c>
      <c r="N33" s="19">
        <v>150.17875934454801</v>
      </c>
      <c r="O33" s="19">
        <v>150.14345572827301</v>
      </c>
      <c r="P33" s="19">
        <v>150.10673996734701</v>
      </c>
      <c r="Q33" s="19">
        <v>150.07143635107201</v>
      </c>
      <c r="R33" s="19">
        <v>150.03472059014601</v>
      </c>
      <c r="S33" s="19">
        <v>150.03472059014601</v>
      </c>
      <c r="T33" s="19">
        <v>150.03472059014601</v>
      </c>
      <c r="U33" s="19">
        <v>150.03472059014601</v>
      </c>
      <c r="V33" s="19">
        <v>150.03472059014601</v>
      </c>
      <c r="W33" s="26">
        <v>150.03472059014601</v>
      </c>
      <c r="X33" s="19">
        <v>150.03472059014601</v>
      </c>
      <c r="Y33" s="19">
        <v>150.03472059014601</v>
      </c>
      <c r="Z33" s="19">
        <v>150.03472059014601</v>
      </c>
      <c r="AA33" s="19">
        <v>150.03472059014601</v>
      </c>
      <c r="AB33" s="19">
        <v>150.03472059014601</v>
      </c>
      <c r="AC33" s="19">
        <v>150.03472059014601</v>
      </c>
      <c r="AD33" s="19">
        <v>150.03472059014601</v>
      </c>
      <c r="AE33" s="19">
        <v>150.03472059014601</v>
      </c>
      <c r="AF33" s="19">
        <v>150.03472059014601</v>
      </c>
      <c r="AG33" s="19">
        <v>150.03472059014601</v>
      </c>
      <c r="AH33" s="19">
        <v>150.03472059014601</v>
      </c>
      <c r="AI33" s="19">
        <v>150.03472059014601</v>
      </c>
      <c r="AJ33" s="19">
        <v>150.03472059014601</v>
      </c>
      <c r="AK33" s="19">
        <v>150.03472059014601</v>
      </c>
      <c r="AL33" s="19">
        <v>150.03472059014601</v>
      </c>
      <c r="AM33" s="19">
        <v>150.03472059014601</v>
      </c>
      <c r="AN33" s="19">
        <v>150.03472059014601</v>
      </c>
      <c r="AO33" s="19">
        <v>150.03472059014601</v>
      </c>
      <c r="AP33" s="19">
        <v>150.03472059014601</v>
      </c>
      <c r="AQ33" s="19">
        <v>150.03472059014601</v>
      </c>
      <c r="AR33" s="19">
        <v>150.03472059014601</v>
      </c>
      <c r="AS33" s="19">
        <v>150.03472059014601</v>
      </c>
      <c r="AT33" s="19">
        <v>150.03472059014601</v>
      </c>
      <c r="AU33" s="19">
        <v>150.03472059014601</v>
      </c>
      <c r="AV33" s="19">
        <v>150.03472059014601</v>
      </c>
      <c r="AW33" s="19">
        <v>150.03472059014601</v>
      </c>
      <c r="AX33" s="19">
        <v>150.03472059014601</v>
      </c>
      <c r="AY33" s="19">
        <v>150.03472059014601</v>
      </c>
      <c r="AZ33" s="19">
        <v>150.03472059014601</v>
      </c>
      <c r="BA33" s="19">
        <v>150.03472059014601</v>
      </c>
      <c r="BB33" s="19">
        <v>150.03472059014601</v>
      </c>
      <c r="BC33" s="19">
        <v>150.03472059014601</v>
      </c>
      <c r="BD33" s="19">
        <v>150.03472059014601</v>
      </c>
      <c r="BE33" s="19">
        <v>150.03472059014601</v>
      </c>
      <c r="BF33" s="19">
        <v>150.03472059014601</v>
      </c>
      <c r="BG33" s="19">
        <v>150.03472059014601</v>
      </c>
      <c r="BH33" s="19">
        <v>150.03472059014601</v>
      </c>
      <c r="BI33" s="19">
        <v>150.03472059014601</v>
      </c>
      <c r="BJ33" s="19">
        <v>150.03472059014601</v>
      </c>
      <c r="BK33" s="19">
        <v>150.03472059014601</v>
      </c>
      <c r="BL33" s="19">
        <v>150.03472059014601</v>
      </c>
      <c r="BM33" s="19">
        <v>150.03472059014601</v>
      </c>
      <c r="BN33" s="19">
        <v>150.03472059014601</v>
      </c>
      <c r="BO33" s="19">
        <v>150.03472059014601</v>
      </c>
      <c r="BP33" s="19">
        <v>150.03472059014601</v>
      </c>
      <c r="BQ33" s="19">
        <v>150.03472059014601</v>
      </c>
      <c r="BR33" s="19">
        <v>150.03472059014601</v>
      </c>
      <c r="BS33" s="19">
        <v>150.03472059014601</v>
      </c>
      <c r="BT33" s="19">
        <v>150.03472059014601</v>
      </c>
      <c r="BU33" s="19">
        <v>150.03472059014601</v>
      </c>
      <c r="BV33" s="19">
        <v>150.03472059014601</v>
      </c>
      <c r="BW33" s="19">
        <v>150.03472059014601</v>
      </c>
      <c r="BX33" s="19">
        <v>150.03472059014601</v>
      </c>
      <c r="BY33" s="19">
        <v>150.03472059014601</v>
      </c>
      <c r="BZ33" s="19">
        <v>150.03472059014601</v>
      </c>
      <c r="CA33" s="19">
        <v>150.03472059014601</v>
      </c>
      <c r="CB33" s="19">
        <v>150.03472059014601</v>
      </c>
      <c r="CC33" s="19">
        <v>150.03472059014601</v>
      </c>
      <c r="CD33" s="19">
        <v>150.03472059014601</v>
      </c>
      <c r="CE33" s="19">
        <v>150.03472059014601</v>
      </c>
      <c r="CF33" s="19">
        <v>150.03472059014601</v>
      </c>
      <c r="CG33" s="19">
        <v>150.03472059014601</v>
      </c>
      <c r="CH33" s="19">
        <v>150.03472059014601</v>
      </c>
      <c r="CI33" s="19">
        <v>150.03472059014601</v>
      </c>
      <c r="CJ33" s="19">
        <v>150.03472059014601</v>
      </c>
      <c r="CK33" s="19">
        <v>150.03472059014601</v>
      </c>
      <c r="CL33" s="19">
        <v>150.03472059014601</v>
      </c>
      <c r="CM33" s="19">
        <v>150.03472059014601</v>
      </c>
      <c r="CN33" s="19">
        <v>150.03472059014601</v>
      </c>
      <c r="CO33" s="19">
        <v>150.03472059014601</v>
      </c>
    </row>
    <row r="34" spans="1:93" s="6" customFormat="1" x14ac:dyDescent="0.2">
      <c r="A34" s="4" t="s">
        <v>47</v>
      </c>
      <c r="B34" s="29" t="s">
        <v>44</v>
      </c>
      <c r="C34" s="19">
        <v>41.181497141168862</v>
      </c>
      <c r="D34" s="19">
        <v>42.686174057292448</v>
      </c>
      <c r="E34" s="19">
        <v>44.190898992101602</v>
      </c>
      <c r="F34" s="19">
        <v>45.695671945596345</v>
      </c>
      <c r="G34" s="19">
        <v>47.20049291777665</v>
      </c>
      <c r="H34" s="19">
        <v>48.705361908642566</v>
      </c>
      <c r="I34" s="19">
        <v>50.210278918194049</v>
      </c>
      <c r="J34" s="19">
        <v>51.715243946431109</v>
      </c>
      <c r="K34" s="19">
        <v>53.220256993353757</v>
      </c>
      <c r="L34" s="19">
        <v>54.725318058961989</v>
      </c>
      <c r="M34" s="19">
        <v>56.230427143255788</v>
      </c>
      <c r="N34" s="19">
        <v>56.242611283486241</v>
      </c>
      <c r="O34" s="19">
        <v>56.254795423716708</v>
      </c>
      <c r="P34" s="19">
        <v>56.26697956394716</v>
      </c>
      <c r="Q34" s="19">
        <v>56.279163704177613</v>
      </c>
      <c r="R34" s="19">
        <v>56.291347844408079</v>
      </c>
      <c r="S34" s="19">
        <v>56.303531984638532</v>
      </c>
      <c r="T34" s="19">
        <v>56.315716124868999</v>
      </c>
      <c r="U34" s="19">
        <v>56.327900265099458</v>
      </c>
      <c r="V34" s="19">
        <v>56.340084405329911</v>
      </c>
      <c r="W34" s="26">
        <v>56.352268545560385</v>
      </c>
      <c r="X34" s="26">
        <v>56.352268545560385</v>
      </c>
      <c r="Y34" s="26">
        <v>56.352268545560385</v>
      </c>
      <c r="Z34" s="26">
        <v>56.352268545560385</v>
      </c>
      <c r="AA34" s="26">
        <v>56.352268545560385</v>
      </c>
      <c r="AB34" s="19">
        <v>56.352268545560385</v>
      </c>
      <c r="AC34" s="19">
        <v>56.352268545560385</v>
      </c>
      <c r="AD34" s="19">
        <v>56.352268545560385</v>
      </c>
      <c r="AE34" s="19">
        <v>56.352268545560385</v>
      </c>
      <c r="AF34" s="19">
        <v>56.352268545560385</v>
      </c>
      <c r="AG34" s="19">
        <v>56.352268545560385</v>
      </c>
      <c r="AH34" s="19">
        <v>56.352268545560385</v>
      </c>
      <c r="AI34" s="19">
        <v>56.352268545560385</v>
      </c>
      <c r="AJ34" s="19">
        <v>56.352268545560385</v>
      </c>
      <c r="AK34" s="19">
        <v>56.352268545560385</v>
      </c>
      <c r="AL34" s="19">
        <v>56.352268545560385</v>
      </c>
      <c r="AM34" s="19">
        <v>56.352268545560385</v>
      </c>
      <c r="AN34" s="19">
        <v>56.352268545560385</v>
      </c>
      <c r="AO34" s="19">
        <v>56.352268545560385</v>
      </c>
      <c r="AP34" s="19">
        <v>56.352268545560385</v>
      </c>
      <c r="AQ34" s="19">
        <v>56.352268545560385</v>
      </c>
      <c r="AR34" s="19">
        <v>56.352268545560385</v>
      </c>
      <c r="AS34" s="19">
        <v>56.352268545560385</v>
      </c>
      <c r="AT34" s="19">
        <v>56.352268545560385</v>
      </c>
      <c r="AU34" s="19">
        <v>56.352268545560385</v>
      </c>
      <c r="AV34" s="19">
        <v>56.352268545560385</v>
      </c>
      <c r="AW34" s="19">
        <v>56.352268545560385</v>
      </c>
      <c r="AX34" s="19">
        <v>56.352268545560385</v>
      </c>
      <c r="AY34" s="19">
        <v>56.352268545560385</v>
      </c>
      <c r="AZ34" s="19">
        <v>56.352268545560385</v>
      </c>
      <c r="BA34" s="19">
        <v>56.352268545560385</v>
      </c>
      <c r="BB34" s="19">
        <v>56.352268545560385</v>
      </c>
      <c r="BC34" s="19">
        <v>56.352268545560385</v>
      </c>
      <c r="BD34" s="19">
        <v>56.352268545560385</v>
      </c>
      <c r="BE34" s="19">
        <v>56.352268545560385</v>
      </c>
      <c r="BF34" s="19">
        <v>56.352268545560385</v>
      </c>
      <c r="BG34" s="19">
        <v>56.352268545560385</v>
      </c>
      <c r="BH34" s="19">
        <v>56.352268545560385</v>
      </c>
      <c r="BI34" s="19">
        <v>56.352268545560385</v>
      </c>
      <c r="BJ34" s="19">
        <v>56.352268545560385</v>
      </c>
      <c r="BK34" s="19">
        <v>56.352268545560385</v>
      </c>
      <c r="BL34" s="19">
        <v>56.352268545560385</v>
      </c>
      <c r="BM34" s="19">
        <v>56.352268545560385</v>
      </c>
      <c r="BN34" s="19">
        <v>56.352268545560385</v>
      </c>
      <c r="BO34" s="19">
        <v>56.352268545560385</v>
      </c>
      <c r="BP34" s="19">
        <v>56.352268545560385</v>
      </c>
      <c r="BQ34" s="19">
        <v>56.352268545560385</v>
      </c>
      <c r="BR34" s="19">
        <v>56.352268545560385</v>
      </c>
      <c r="BS34" s="19">
        <v>56.352268545560385</v>
      </c>
      <c r="BT34" s="19">
        <v>56.352268545560385</v>
      </c>
      <c r="BU34" s="19">
        <v>56.352268545560385</v>
      </c>
      <c r="BV34" s="19">
        <v>56.352268545560385</v>
      </c>
      <c r="BW34" s="19">
        <v>56.352268545560385</v>
      </c>
      <c r="BX34" s="19">
        <v>56.352268545560385</v>
      </c>
      <c r="BY34" s="19">
        <v>56.352268545560385</v>
      </c>
      <c r="BZ34" s="19">
        <v>56.352268545560385</v>
      </c>
      <c r="CA34" s="19">
        <v>56.352268545560385</v>
      </c>
      <c r="CB34" s="19">
        <v>56.352268545560385</v>
      </c>
      <c r="CC34" s="19">
        <v>56.352268545560385</v>
      </c>
      <c r="CD34" s="19">
        <v>56.352268545560385</v>
      </c>
      <c r="CE34" s="19">
        <v>56.352268545560385</v>
      </c>
      <c r="CF34" s="19">
        <v>56.352268545560385</v>
      </c>
      <c r="CG34" s="19">
        <v>56.352268545560385</v>
      </c>
      <c r="CH34" s="19">
        <v>56.352268545560385</v>
      </c>
      <c r="CI34" s="19">
        <v>56.352268545560385</v>
      </c>
      <c r="CJ34" s="19">
        <v>56.352268545560385</v>
      </c>
      <c r="CK34" s="19">
        <v>56.352268545560385</v>
      </c>
      <c r="CL34" s="19">
        <v>56.352268545560385</v>
      </c>
      <c r="CM34" s="19">
        <v>56.352268545560385</v>
      </c>
      <c r="CN34" s="19">
        <v>56.352268545560385</v>
      </c>
      <c r="CO34" s="19">
        <v>56.352268545560385</v>
      </c>
    </row>
    <row r="35" spans="1:93" s="6" customFormat="1" x14ac:dyDescent="0.2">
      <c r="A35" s="4" t="s">
        <v>48</v>
      </c>
      <c r="B35" s="29" t="s">
        <v>44</v>
      </c>
      <c r="C35" s="19">
        <v>44.374932917436929</v>
      </c>
      <c r="D35" s="19">
        <v>46.068616957325489</v>
      </c>
      <c r="E35" s="19">
        <v>47.762300997214055</v>
      </c>
      <c r="F35" s="19">
        <v>49.455985037102614</v>
      </c>
      <c r="G35" s="19">
        <v>51.149669076991181</v>
      </c>
      <c r="H35" s="19">
        <v>52.843353116879733</v>
      </c>
      <c r="I35" s="19">
        <v>54.537037156768299</v>
      </c>
      <c r="J35" s="19">
        <v>56.230721196656866</v>
      </c>
      <c r="K35" s="19">
        <v>57.924405236545432</v>
      </c>
      <c r="L35" s="19">
        <v>59.618089276434006</v>
      </c>
      <c r="M35" s="19">
        <v>61.311773316322544</v>
      </c>
      <c r="N35" s="19">
        <v>61.311773316322544</v>
      </c>
      <c r="O35" s="19">
        <v>61.311773316322544</v>
      </c>
      <c r="P35" s="19">
        <v>61.311773316322544</v>
      </c>
      <c r="Q35" s="19">
        <v>61.311773316322544</v>
      </c>
      <c r="R35" s="19">
        <v>61.311773316322544</v>
      </c>
      <c r="S35" s="19">
        <v>61.311773316322544</v>
      </c>
      <c r="T35" s="19">
        <v>61.311773316322544</v>
      </c>
      <c r="U35" s="19">
        <v>61.311773316322544</v>
      </c>
      <c r="V35" s="19">
        <v>61.311773316322544</v>
      </c>
      <c r="W35" s="26">
        <v>61.311773316322544</v>
      </c>
      <c r="X35" s="26">
        <v>61.311773316322544</v>
      </c>
      <c r="Y35" s="26">
        <v>61.311773316322544</v>
      </c>
      <c r="Z35" s="26">
        <v>61.311773316322544</v>
      </c>
      <c r="AA35" s="26">
        <v>61.311773316322544</v>
      </c>
      <c r="AB35" s="19">
        <v>61.311773316322544</v>
      </c>
      <c r="AC35" s="19">
        <v>61.311773316322544</v>
      </c>
      <c r="AD35" s="19">
        <v>61.311773316322544</v>
      </c>
      <c r="AE35" s="19">
        <v>61.311773316322544</v>
      </c>
      <c r="AF35" s="19">
        <v>61.311773316322544</v>
      </c>
      <c r="AG35" s="19">
        <v>61.311773316322544</v>
      </c>
      <c r="AH35" s="19">
        <v>61.311773316322544</v>
      </c>
      <c r="AI35" s="19">
        <v>61.311773316322544</v>
      </c>
      <c r="AJ35" s="19">
        <v>61.311773316322544</v>
      </c>
      <c r="AK35" s="19">
        <v>61.311773316322544</v>
      </c>
      <c r="AL35" s="19">
        <v>61.311773316322544</v>
      </c>
      <c r="AM35" s="19">
        <v>61.311773316322544</v>
      </c>
      <c r="AN35" s="19">
        <v>61.311773316322544</v>
      </c>
      <c r="AO35" s="19">
        <v>61.311773316322544</v>
      </c>
      <c r="AP35" s="19">
        <v>61.311773316322544</v>
      </c>
      <c r="AQ35" s="19">
        <v>61.311773316322544</v>
      </c>
      <c r="AR35" s="19">
        <v>61.311773316322544</v>
      </c>
      <c r="AS35" s="19">
        <v>61.311773316322544</v>
      </c>
      <c r="AT35" s="19">
        <v>61.311773316322544</v>
      </c>
      <c r="AU35" s="19">
        <v>61.311773316322544</v>
      </c>
      <c r="AV35" s="19">
        <v>61.311773316322544</v>
      </c>
      <c r="AW35" s="19">
        <v>61.311773316322544</v>
      </c>
      <c r="AX35" s="19">
        <v>61.311773316322544</v>
      </c>
      <c r="AY35" s="19">
        <v>61.311773316322544</v>
      </c>
      <c r="AZ35" s="19">
        <v>61.311773316322544</v>
      </c>
      <c r="BA35" s="19">
        <v>61.311773316322544</v>
      </c>
      <c r="BB35" s="19">
        <v>61.311773316322544</v>
      </c>
      <c r="BC35" s="19">
        <v>61.311773316322544</v>
      </c>
      <c r="BD35" s="19">
        <v>61.311773316322544</v>
      </c>
      <c r="BE35" s="19">
        <v>61.311773316322544</v>
      </c>
      <c r="BF35" s="19">
        <v>61.311773316322544</v>
      </c>
      <c r="BG35" s="19">
        <v>61.311773316322544</v>
      </c>
      <c r="BH35" s="19">
        <v>61.311773316322544</v>
      </c>
      <c r="BI35" s="19">
        <v>61.311773316322544</v>
      </c>
      <c r="BJ35" s="19">
        <v>61.311773316322544</v>
      </c>
      <c r="BK35" s="19">
        <v>61.311773316322544</v>
      </c>
      <c r="BL35" s="19">
        <v>61.311773316322544</v>
      </c>
      <c r="BM35" s="19">
        <v>61.311773316322544</v>
      </c>
      <c r="BN35" s="19">
        <v>61.311773316322544</v>
      </c>
      <c r="BO35" s="19">
        <v>61.311773316322544</v>
      </c>
      <c r="BP35" s="19">
        <v>61.311773316322544</v>
      </c>
      <c r="BQ35" s="19">
        <v>61.311773316322544</v>
      </c>
      <c r="BR35" s="19">
        <v>61.311773316322544</v>
      </c>
      <c r="BS35" s="19">
        <v>61.311773316322544</v>
      </c>
      <c r="BT35" s="19">
        <v>61.311773316322544</v>
      </c>
      <c r="BU35" s="19">
        <v>61.311773316322544</v>
      </c>
      <c r="BV35" s="19">
        <v>61.311773316322544</v>
      </c>
      <c r="BW35" s="19">
        <v>61.311773316322544</v>
      </c>
      <c r="BX35" s="19">
        <v>61.311773316322544</v>
      </c>
      <c r="BY35" s="19">
        <v>61.311773316322544</v>
      </c>
      <c r="BZ35" s="19">
        <v>61.311773316322544</v>
      </c>
      <c r="CA35" s="19">
        <v>61.311773316322544</v>
      </c>
      <c r="CB35" s="19">
        <v>61.311773316322544</v>
      </c>
      <c r="CC35" s="19">
        <v>61.311773316322544</v>
      </c>
      <c r="CD35" s="19">
        <v>61.311773316322544</v>
      </c>
      <c r="CE35" s="19">
        <v>61.311773316322544</v>
      </c>
      <c r="CF35" s="19">
        <v>61.311773316322544</v>
      </c>
      <c r="CG35" s="19">
        <v>61.311773316322544</v>
      </c>
      <c r="CH35" s="19">
        <v>61.311773316322544</v>
      </c>
      <c r="CI35" s="19">
        <v>61.311773316322544</v>
      </c>
      <c r="CJ35" s="19">
        <v>61.311773316322544</v>
      </c>
      <c r="CK35" s="19">
        <v>61.311773316322544</v>
      </c>
      <c r="CL35" s="19">
        <v>61.311773316322544</v>
      </c>
      <c r="CM35" s="19">
        <v>61.311773316322544</v>
      </c>
      <c r="CN35" s="19">
        <v>61.311773316322544</v>
      </c>
      <c r="CO35" s="19">
        <v>61.311773316322544</v>
      </c>
    </row>
    <row r="36" spans="1:93" x14ac:dyDescent="0.2">
      <c r="B36" s="21"/>
      <c r="C36" s="19"/>
      <c r="D36" s="19"/>
      <c r="E36" s="19"/>
      <c r="F36" s="19"/>
      <c r="G36" s="19"/>
      <c r="H36" s="19"/>
      <c r="I36" s="19"/>
      <c r="J36" s="19"/>
      <c r="K36" s="19"/>
      <c r="L36" s="19"/>
      <c r="M36" s="19"/>
      <c r="N36" s="19"/>
      <c r="O36" s="19"/>
      <c r="P36" s="19"/>
      <c r="Q36" s="19"/>
      <c r="R36" s="19"/>
      <c r="S36" s="19"/>
      <c r="T36" s="19"/>
      <c r="U36" s="19"/>
      <c r="V36" s="19"/>
      <c r="W36" s="26"/>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row>
    <row r="37" spans="1:93" x14ac:dyDescent="0.2">
      <c r="A37" s="18" t="s">
        <v>49</v>
      </c>
      <c r="B37" s="29" t="s">
        <v>44</v>
      </c>
      <c r="C37" s="19">
        <v>44.524928989138793</v>
      </c>
      <c r="D37" s="19">
        <v>39.292028946590335</v>
      </c>
      <c r="E37" s="19">
        <v>41.336415918533213</v>
      </c>
      <c r="F37" s="19">
        <v>42.869706147490376</v>
      </c>
      <c r="G37" s="19">
        <v>44.914093119433261</v>
      </c>
      <c r="H37" s="19">
        <v>46.958480091376138</v>
      </c>
      <c r="I37" s="19">
        <v>48.491770320333302</v>
      </c>
      <c r="J37" s="19">
        <v>50.536157292276187</v>
      </c>
      <c r="K37" s="19">
        <v>52.069447521233336</v>
      </c>
      <c r="L37" s="19">
        <v>54.113834493176213</v>
      </c>
      <c r="M37" s="19">
        <v>56.158221465119098</v>
      </c>
      <c r="N37" s="19">
        <v>57.691511694076262</v>
      </c>
      <c r="O37" s="19">
        <v>59.735898666019139</v>
      </c>
      <c r="P37" s="19">
        <v>59.735898666019139</v>
      </c>
      <c r="Q37" s="19">
        <v>59.735898666019139</v>
      </c>
      <c r="R37" s="19">
        <v>59.735898666019139</v>
      </c>
      <c r="S37" s="19">
        <v>59.735898666019139</v>
      </c>
      <c r="T37" s="19">
        <v>59.735898666019139</v>
      </c>
      <c r="U37" s="19">
        <v>59.735898666019139</v>
      </c>
      <c r="V37" s="19">
        <v>59.735898666019139</v>
      </c>
      <c r="W37" s="26">
        <v>59.735898666019139</v>
      </c>
      <c r="X37" s="19">
        <v>59.735898666019139</v>
      </c>
      <c r="Y37" s="19">
        <v>59.735898666019139</v>
      </c>
      <c r="Z37" s="19">
        <v>59.735898666019139</v>
      </c>
      <c r="AA37" s="19">
        <v>59.735898666019139</v>
      </c>
      <c r="AB37" s="19">
        <v>59.735898666019139</v>
      </c>
      <c r="AC37" s="19">
        <v>59.735898666019139</v>
      </c>
      <c r="AD37" s="19">
        <v>59.735898666019139</v>
      </c>
      <c r="AE37" s="19">
        <v>59.735898666019139</v>
      </c>
      <c r="AF37" s="19">
        <v>59.735898666019139</v>
      </c>
      <c r="AG37" s="19">
        <v>59.735898666019139</v>
      </c>
      <c r="AH37" s="19">
        <v>59.735898666019139</v>
      </c>
      <c r="AI37" s="19">
        <v>59.735898666019139</v>
      </c>
      <c r="AJ37" s="19">
        <v>59.735898666019139</v>
      </c>
      <c r="AK37" s="19">
        <v>59.735898666019139</v>
      </c>
      <c r="AL37" s="19">
        <v>59.735898666019139</v>
      </c>
      <c r="AM37" s="19">
        <v>59.735898666019139</v>
      </c>
      <c r="AN37" s="19">
        <v>59.735898666019139</v>
      </c>
      <c r="AO37" s="19">
        <v>59.735898666019139</v>
      </c>
      <c r="AP37" s="19">
        <v>59.735898666019139</v>
      </c>
      <c r="AQ37" s="19">
        <v>59.735898666019139</v>
      </c>
      <c r="AR37" s="19">
        <v>59.735898666019139</v>
      </c>
      <c r="AS37" s="19">
        <v>59.735898666019139</v>
      </c>
      <c r="AT37" s="19">
        <v>59.735898666019139</v>
      </c>
      <c r="AU37" s="19">
        <v>59.735898666019139</v>
      </c>
      <c r="AV37" s="19">
        <v>59.735898666019139</v>
      </c>
      <c r="AW37" s="19">
        <v>59.735898666019139</v>
      </c>
      <c r="AX37" s="19">
        <v>59.735898666019139</v>
      </c>
      <c r="AY37" s="19">
        <v>59.735898666019139</v>
      </c>
      <c r="AZ37" s="19">
        <v>59.735898666019139</v>
      </c>
      <c r="BA37" s="19">
        <v>59.735898666019139</v>
      </c>
      <c r="BB37" s="21">
        <v>59.735898666019139</v>
      </c>
      <c r="BC37" s="21">
        <v>59.735898666019139</v>
      </c>
      <c r="BD37" s="21">
        <v>59.735898666019139</v>
      </c>
      <c r="BE37" s="21">
        <v>59.735898666019139</v>
      </c>
      <c r="BF37" s="21">
        <v>59.735898666019139</v>
      </c>
      <c r="BG37" s="21">
        <v>59.735898666019139</v>
      </c>
      <c r="BH37" s="21">
        <v>59.735898666019139</v>
      </c>
      <c r="BI37" s="21">
        <v>59.735898666019139</v>
      </c>
      <c r="BJ37" s="21">
        <v>59.735898666019139</v>
      </c>
      <c r="BK37" s="21">
        <v>59.735898666019139</v>
      </c>
      <c r="BL37" s="21">
        <v>59.735898666019139</v>
      </c>
      <c r="BM37" s="21">
        <v>59.735898666019139</v>
      </c>
      <c r="BN37" s="21">
        <v>59.735898666019139</v>
      </c>
      <c r="BO37" s="21">
        <v>59.735898666019139</v>
      </c>
      <c r="BP37" s="21">
        <v>59.735898666019139</v>
      </c>
      <c r="BQ37" s="21">
        <v>59.735898666019139</v>
      </c>
      <c r="BR37" s="21">
        <v>59.735898666019139</v>
      </c>
      <c r="BS37" s="21">
        <v>59.735898666019139</v>
      </c>
      <c r="BT37" s="21">
        <v>59.735898666019139</v>
      </c>
      <c r="BU37" s="21">
        <v>59.735898666019139</v>
      </c>
      <c r="BV37" s="21">
        <v>59.735898666019139</v>
      </c>
      <c r="BW37" s="21">
        <v>59.735898666019139</v>
      </c>
      <c r="BX37" s="21">
        <v>59.735898666019139</v>
      </c>
      <c r="BY37" s="21">
        <v>59.735898666019139</v>
      </c>
      <c r="BZ37" s="21">
        <v>59.735898666019139</v>
      </c>
      <c r="CA37" s="21">
        <v>59.735898666019139</v>
      </c>
      <c r="CB37" s="21">
        <v>59.735898666019139</v>
      </c>
      <c r="CC37" s="21">
        <v>59.735898666019139</v>
      </c>
      <c r="CD37" s="21">
        <v>59.735898666019139</v>
      </c>
      <c r="CE37" s="21">
        <v>59.735898666019139</v>
      </c>
      <c r="CF37" s="21">
        <v>59.735898666019139</v>
      </c>
      <c r="CG37" s="21">
        <v>59.735898666019139</v>
      </c>
      <c r="CH37" s="21">
        <v>59.735898666019139</v>
      </c>
      <c r="CI37" s="21">
        <v>59.735898666019139</v>
      </c>
      <c r="CJ37" s="21">
        <v>59.735898666019139</v>
      </c>
      <c r="CK37" s="21">
        <v>59.735898666019139</v>
      </c>
      <c r="CL37" s="21">
        <v>59.735898666019139</v>
      </c>
      <c r="CM37" s="21">
        <v>59.735898666019139</v>
      </c>
      <c r="CN37" s="21">
        <v>59.735898666019139</v>
      </c>
      <c r="CO37" s="21">
        <v>59.735898666019139</v>
      </c>
    </row>
    <row r="38" spans="1:93" s="6" customFormat="1" x14ac:dyDescent="0.2">
      <c r="A38" s="18" t="s">
        <v>50</v>
      </c>
      <c r="B38" s="29" t="s">
        <v>44</v>
      </c>
      <c r="C38" s="19">
        <v>43.820306666703615</v>
      </c>
      <c r="D38" s="19">
        <v>38.587406624155157</v>
      </c>
      <c r="E38" s="19">
        <v>40.631793596098035</v>
      </c>
      <c r="F38" s="19">
        <v>42.165083825055198</v>
      </c>
      <c r="G38" s="19">
        <v>44.209470796998083</v>
      </c>
      <c r="H38" s="19">
        <v>46.253857768940961</v>
      </c>
      <c r="I38" s="19">
        <v>47.787147997898124</v>
      </c>
      <c r="J38" s="19">
        <v>49.831534969841009</v>
      </c>
      <c r="K38" s="19">
        <v>51.364825198798158</v>
      </c>
      <c r="L38" s="19">
        <v>53.409212170741036</v>
      </c>
      <c r="M38" s="19">
        <v>55.45359914268392</v>
      </c>
      <c r="N38" s="19">
        <v>56.986889371641084</v>
      </c>
      <c r="O38" s="19">
        <v>59.031276343583961</v>
      </c>
      <c r="P38" s="19">
        <v>59.031276343583961</v>
      </c>
      <c r="Q38" s="19">
        <v>59.031276343583961</v>
      </c>
      <c r="R38" s="19">
        <v>59.031276343583961</v>
      </c>
      <c r="S38" s="19">
        <v>59.031276343583961</v>
      </c>
      <c r="T38" s="19">
        <v>59.031276343583961</v>
      </c>
      <c r="U38" s="19">
        <v>59.031276343583961</v>
      </c>
      <c r="V38" s="19">
        <v>59.031276343583961</v>
      </c>
      <c r="W38" s="26">
        <v>59.031276343583961</v>
      </c>
      <c r="X38" s="19">
        <v>59.031276343583961</v>
      </c>
      <c r="Y38" s="19">
        <v>59.031276343583961</v>
      </c>
      <c r="Z38" s="19">
        <v>59.031276343583961</v>
      </c>
      <c r="AA38" s="19">
        <v>59.031276343583961</v>
      </c>
      <c r="AB38" s="19">
        <v>59.031276343583961</v>
      </c>
      <c r="AC38" s="19">
        <v>59.031276343583961</v>
      </c>
      <c r="AD38" s="19">
        <v>59.031276343583961</v>
      </c>
      <c r="AE38" s="19">
        <v>59.031276343583961</v>
      </c>
      <c r="AF38" s="19">
        <v>59.031276343583961</v>
      </c>
      <c r="AG38" s="19">
        <v>59.031276343583961</v>
      </c>
      <c r="AH38" s="19">
        <v>59.031276343583961</v>
      </c>
      <c r="AI38" s="19">
        <v>59.031276343583961</v>
      </c>
      <c r="AJ38" s="19">
        <v>59.031276343583961</v>
      </c>
      <c r="AK38" s="19">
        <v>59.031276343583961</v>
      </c>
      <c r="AL38" s="19">
        <v>59.031276343583961</v>
      </c>
      <c r="AM38" s="19">
        <v>59.031276343583961</v>
      </c>
      <c r="AN38" s="19">
        <v>59.031276343583961</v>
      </c>
      <c r="AO38" s="19">
        <v>59.031276343583961</v>
      </c>
      <c r="AP38" s="19">
        <v>59.031276343583961</v>
      </c>
      <c r="AQ38" s="19">
        <v>59.031276343583961</v>
      </c>
      <c r="AR38" s="19">
        <v>59.031276343583961</v>
      </c>
      <c r="AS38" s="19">
        <v>59.031276343583961</v>
      </c>
      <c r="AT38" s="19">
        <v>59.031276343583961</v>
      </c>
      <c r="AU38" s="19">
        <v>59.031276343583961</v>
      </c>
      <c r="AV38" s="19">
        <v>59.031276343583961</v>
      </c>
      <c r="AW38" s="19">
        <v>59.031276343583961</v>
      </c>
      <c r="AX38" s="19">
        <v>59.031276343583961</v>
      </c>
      <c r="AY38" s="19">
        <v>59.031276343583961</v>
      </c>
      <c r="AZ38" s="19">
        <v>59.031276343583961</v>
      </c>
      <c r="BA38" s="19">
        <v>59.031276343583961</v>
      </c>
      <c r="BB38" s="25">
        <v>59.031276343583961</v>
      </c>
      <c r="BC38" s="25">
        <v>59.031276343583961</v>
      </c>
      <c r="BD38" s="25">
        <v>59.031276343583961</v>
      </c>
      <c r="BE38" s="25">
        <v>59.031276343583961</v>
      </c>
      <c r="BF38" s="25">
        <v>59.031276343583961</v>
      </c>
      <c r="BG38" s="25">
        <v>59.031276343583961</v>
      </c>
      <c r="BH38" s="25">
        <v>59.031276343583961</v>
      </c>
      <c r="BI38" s="25">
        <v>59.031276343583961</v>
      </c>
      <c r="BJ38" s="25">
        <v>59.031276343583961</v>
      </c>
      <c r="BK38" s="25">
        <v>59.031276343583961</v>
      </c>
      <c r="BL38" s="25">
        <v>59.031276343583961</v>
      </c>
      <c r="BM38" s="25">
        <v>59.031276343583961</v>
      </c>
      <c r="BN38" s="25">
        <v>59.031276343583961</v>
      </c>
      <c r="BO38" s="25">
        <v>59.031276343583961</v>
      </c>
      <c r="BP38" s="25">
        <v>59.031276343583961</v>
      </c>
      <c r="BQ38" s="25">
        <v>59.031276343583961</v>
      </c>
      <c r="BR38" s="25">
        <v>59.031276343583961</v>
      </c>
      <c r="BS38" s="25">
        <v>59.031276343583961</v>
      </c>
      <c r="BT38" s="25">
        <v>59.031276343583961</v>
      </c>
      <c r="BU38" s="25">
        <v>59.031276343583961</v>
      </c>
      <c r="BV38" s="25">
        <v>59.031276343583961</v>
      </c>
      <c r="BW38" s="25">
        <v>59.031276343583961</v>
      </c>
      <c r="BX38" s="25">
        <v>59.031276343583961</v>
      </c>
      <c r="BY38" s="25">
        <v>59.031276343583961</v>
      </c>
      <c r="BZ38" s="25">
        <v>59.031276343583961</v>
      </c>
      <c r="CA38" s="25">
        <v>59.031276343583961</v>
      </c>
      <c r="CB38" s="25">
        <v>59.031276343583961</v>
      </c>
      <c r="CC38" s="25">
        <v>59.031276343583961</v>
      </c>
      <c r="CD38" s="25">
        <v>59.031276343583961</v>
      </c>
      <c r="CE38" s="25">
        <v>59.031276343583961</v>
      </c>
      <c r="CF38" s="25">
        <v>59.031276343583961</v>
      </c>
      <c r="CG38" s="25">
        <v>59.031276343583961</v>
      </c>
      <c r="CH38" s="25">
        <v>59.031276343583961</v>
      </c>
      <c r="CI38" s="25">
        <v>59.031276343583961</v>
      </c>
      <c r="CJ38" s="25">
        <v>59.031276343583961</v>
      </c>
      <c r="CK38" s="25">
        <v>59.031276343583961</v>
      </c>
      <c r="CL38" s="25">
        <v>59.031276343583961</v>
      </c>
      <c r="CM38" s="25">
        <v>59.031276343583961</v>
      </c>
      <c r="CN38" s="25">
        <v>59.031276343583961</v>
      </c>
      <c r="CO38" s="25">
        <v>59.031276343583961</v>
      </c>
    </row>
    <row r="39" spans="1:93" x14ac:dyDescent="0.2">
      <c r="A39" s="27"/>
      <c r="B39" s="21"/>
      <c r="C39" s="21"/>
      <c r="D39" s="21"/>
      <c r="E39" s="21"/>
      <c r="F39" s="21"/>
      <c r="G39" s="21"/>
      <c r="H39" s="21"/>
      <c r="I39" s="21"/>
      <c r="J39" s="21"/>
      <c r="K39" s="21"/>
      <c r="L39" s="21"/>
      <c r="M39" s="21"/>
      <c r="N39" s="21"/>
      <c r="O39" s="21"/>
      <c r="P39" s="21"/>
      <c r="Q39" s="21"/>
      <c r="R39" s="21"/>
      <c r="S39" s="21"/>
      <c r="T39" s="21"/>
      <c r="U39" s="21"/>
      <c r="V39" s="21"/>
      <c r="W39" s="25"/>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row>
    <row r="40" spans="1:93" x14ac:dyDescent="0.2">
      <c r="A40" s="27"/>
      <c r="B40" s="21"/>
      <c r="C40" s="21"/>
      <c r="D40" s="21"/>
      <c r="E40" s="21"/>
      <c r="F40" s="21"/>
      <c r="G40" s="21"/>
      <c r="H40" s="21"/>
      <c r="I40" s="21"/>
      <c r="J40" s="21"/>
      <c r="K40" s="21"/>
      <c r="L40" s="21"/>
      <c r="M40" s="21"/>
      <c r="N40" s="21"/>
      <c r="O40" s="21"/>
      <c r="P40" s="21"/>
      <c r="Q40" s="21"/>
      <c r="R40" s="21"/>
      <c r="S40" s="21"/>
      <c r="T40" s="21"/>
      <c r="U40" s="21"/>
      <c r="V40" s="21"/>
      <c r="W40" s="25"/>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row>
    <row r="41" spans="1:93" x14ac:dyDescent="0.2">
      <c r="B41" s="21"/>
      <c r="C41" s="21"/>
      <c r="D41" s="21"/>
      <c r="E41" s="21"/>
      <c r="F41" s="21"/>
      <c r="G41" s="21"/>
      <c r="H41" s="21"/>
      <c r="I41" s="21"/>
      <c r="J41" s="21"/>
      <c r="K41" s="21"/>
      <c r="L41" s="21"/>
      <c r="M41" s="21"/>
      <c r="N41" s="21"/>
      <c r="O41" s="21"/>
      <c r="P41" s="21"/>
      <c r="Q41" s="21"/>
      <c r="R41" s="21"/>
      <c r="S41" s="21"/>
      <c r="T41" s="21"/>
      <c r="U41" s="21"/>
      <c r="V41" s="21"/>
      <c r="W41" s="25"/>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row>
    <row r="42" spans="1:93" x14ac:dyDescent="0.2">
      <c r="B42" s="21"/>
      <c r="C42" s="21"/>
      <c r="D42" s="21"/>
      <c r="E42" s="21"/>
      <c r="F42" s="21"/>
      <c r="G42" s="21"/>
      <c r="H42" s="21"/>
      <c r="I42" s="21"/>
      <c r="J42" s="21"/>
      <c r="K42" s="21"/>
      <c r="L42" s="21"/>
      <c r="M42" s="21"/>
      <c r="N42" s="21"/>
      <c r="O42" s="21"/>
      <c r="P42" s="21"/>
      <c r="Q42" s="21"/>
      <c r="R42" s="21"/>
      <c r="S42" s="21"/>
      <c r="T42" s="21"/>
      <c r="U42" s="21"/>
      <c r="V42" s="21"/>
      <c r="W42" s="25"/>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row>
    <row r="43" spans="1:93" x14ac:dyDescent="0.2">
      <c r="B43" s="21"/>
      <c r="C43" s="21"/>
      <c r="D43" s="21"/>
      <c r="E43" s="21"/>
      <c r="F43" s="21"/>
      <c r="G43" s="21"/>
      <c r="H43" s="21"/>
      <c r="I43" s="21"/>
      <c r="J43" s="21"/>
      <c r="K43" s="21"/>
      <c r="L43" s="21"/>
      <c r="M43" s="21"/>
      <c r="N43" s="21"/>
      <c r="O43" s="21"/>
      <c r="P43" s="21"/>
      <c r="Q43" s="21"/>
      <c r="R43" s="21"/>
      <c r="S43" s="21"/>
      <c r="T43" s="21"/>
      <c r="U43" s="21"/>
      <c r="V43" s="21"/>
      <c r="W43" s="25"/>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row>
    <row r="44" spans="1:93" x14ac:dyDescent="0.2">
      <c r="B44" s="21"/>
      <c r="C44" s="21"/>
      <c r="D44" s="21"/>
      <c r="E44" s="21"/>
      <c r="F44" s="21"/>
      <c r="G44" s="21"/>
      <c r="H44" s="21"/>
      <c r="I44" s="21"/>
      <c r="J44" s="21"/>
      <c r="K44" s="21"/>
      <c r="L44" s="21"/>
      <c r="M44" s="21"/>
      <c r="N44" s="21"/>
      <c r="O44" s="21"/>
      <c r="P44" s="21"/>
      <c r="Q44" s="21"/>
      <c r="R44" s="21"/>
      <c r="S44" s="21"/>
      <c r="T44" s="21"/>
      <c r="U44" s="21"/>
      <c r="V44" s="21"/>
      <c r="W44" s="25"/>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row>
    <row r="45" spans="1:93" x14ac:dyDescent="0.2">
      <c r="B45" s="21"/>
      <c r="C45" s="21"/>
      <c r="D45" s="21"/>
      <c r="E45" s="21"/>
      <c r="F45" s="21"/>
      <c r="G45" s="21"/>
      <c r="H45" s="21"/>
      <c r="I45" s="21"/>
      <c r="J45" s="21"/>
      <c r="K45" s="21"/>
      <c r="L45" s="21"/>
      <c r="M45" s="21"/>
      <c r="N45" s="21"/>
      <c r="O45" s="21"/>
      <c r="P45" s="21"/>
      <c r="Q45" s="21"/>
      <c r="R45" s="21"/>
      <c r="S45" s="21"/>
      <c r="T45" s="21"/>
      <c r="U45" s="21"/>
      <c r="V45" s="21"/>
      <c r="W45" s="25"/>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row>
    <row r="46" spans="1:93" x14ac:dyDescent="0.2">
      <c r="B46" s="21"/>
      <c r="C46" s="21"/>
      <c r="D46" s="21"/>
      <c r="E46" s="21"/>
      <c r="F46" s="21"/>
      <c r="G46" s="21"/>
      <c r="H46" s="21"/>
      <c r="I46" s="21"/>
      <c r="J46" s="21"/>
      <c r="K46" s="21"/>
      <c r="L46" s="21"/>
      <c r="M46" s="21"/>
      <c r="N46" s="21"/>
      <c r="O46" s="21"/>
      <c r="P46" s="21"/>
      <c r="Q46" s="21"/>
      <c r="R46" s="21"/>
      <c r="S46" s="21"/>
      <c r="T46" s="21"/>
      <c r="U46" s="21"/>
      <c r="V46" s="21"/>
      <c r="W46" s="25"/>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P38"/>
  <sheetViews>
    <sheetView workbookViewId="0">
      <selection activeCell="K23" sqref="K23"/>
    </sheetView>
  </sheetViews>
  <sheetFormatPr defaultRowHeight="12.75" x14ac:dyDescent="0.2"/>
  <cols>
    <col min="1" max="1" width="40.85546875" style="2" customWidth="1"/>
    <col min="2" max="2" width="10.5703125" style="33" bestFit="1" customWidth="1"/>
    <col min="3" max="22" width="9.140625" style="2"/>
    <col min="23" max="23" width="9.140625" style="6"/>
    <col min="24" max="16384" width="9.140625" style="2"/>
  </cols>
  <sheetData>
    <row r="1" spans="1:94" ht="15.75" x14ac:dyDescent="0.25">
      <c r="A1" s="12" t="s">
        <v>59</v>
      </c>
    </row>
    <row r="2" spans="1:94" s="3" customFormat="1" ht="15.75" x14ac:dyDescent="0.25">
      <c r="B2" s="34"/>
      <c r="C2" s="13">
        <v>2010</v>
      </c>
      <c r="D2" s="13">
        <v>2011</v>
      </c>
      <c r="E2" s="13">
        <v>2012</v>
      </c>
      <c r="F2" s="13">
        <v>2013</v>
      </c>
      <c r="G2" s="13">
        <v>2014</v>
      </c>
      <c r="H2" s="13">
        <v>2015</v>
      </c>
      <c r="I2" s="13">
        <v>2016</v>
      </c>
      <c r="J2" s="13">
        <v>2017</v>
      </c>
      <c r="K2" s="13">
        <v>2018</v>
      </c>
      <c r="L2" s="13">
        <v>2019</v>
      </c>
      <c r="M2" s="13">
        <v>2020</v>
      </c>
      <c r="N2" s="13">
        <v>2021</v>
      </c>
      <c r="O2" s="13">
        <v>2022</v>
      </c>
      <c r="P2" s="13">
        <v>2023</v>
      </c>
      <c r="Q2" s="13">
        <v>2024</v>
      </c>
      <c r="R2" s="13">
        <v>2025</v>
      </c>
      <c r="S2" s="13">
        <v>2026</v>
      </c>
      <c r="T2" s="13">
        <v>2027</v>
      </c>
      <c r="U2" s="13">
        <v>2028</v>
      </c>
      <c r="V2" s="13">
        <v>2029</v>
      </c>
      <c r="W2" s="13">
        <v>2030</v>
      </c>
      <c r="X2" s="13">
        <v>2031</v>
      </c>
      <c r="Y2" s="13">
        <v>2032</v>
      </c>
      <c r="Z2" s="13">
        <v>2033</v>
      </c>
      <c r="AA2" s="13">
        <v>2034</v>
      </c>
      <c r="AB2" s="13">
        <v>2035</v>
      </c>
      <c r="AC2" s="13">
        <v>2036</v>
      </c>
      <c r="AD2" s="13">
        <v>2037</v>
      </c>
      <c r="AE2" s="13">
        <v>2038</v>
      </c>
      <c r="AF2" s="13">
        <v>2039</v>
      </c>
      <c r="AG2" s="13">
        <v>2040</v>
      </c>
      <c r="AH2" s="13">
        <v>2041</v>
      </c>
      <c r="AI2" s="13">
        <v>2042</v>
      </c>
      <c r="AJ2" s="13">
        <v>2043</v>
      </c>
      <c r="AK2" s="13">
        <v>2044</v>
      </c>
      <c r="AL2" s="13">
        <v>2045</v>
      </c>
      <c r="AM2" s="13">
        <v>2046</v>
      </c>
      <c r="AN2" s="13">
        <v>2047</v>
      </c>
      <c r="AO2" s="13">
        <v>2048</v>
      </c>
      <c r="AP2" s="13">
        <v>2049</v>
      </c>
      <c r="AQ2" s="13">
        <v>2050</v>
      </c>
      <c r="AR2" s="13">
        <v>2051</v>
      </c>
      <c r="AS2" s="13">
        <v>2052</v>
      </c>
      <c r="AT2" s="13">
        <v>2053</v>
      </c>
      <c r="AU2" s="13">
        <v>2054</v>
      </c>
      <c r="AV2" s="13">
        <v>2055</v>
      </c>
      <c r="AW2" s="13">
        <v>2056</v>
      </c>
      <c r="AX2" s="13">
        <v>2057</v>
      </c>
      <c r="AY2" s="13">
        <v>2058</v>
      </c>
      <c r="AZ2" s="13">
        <v>2059</v>
      </c>
      <c r="BA2" s="13">
        <v>2060</v>
      </c>
      <c r="BB2" s="13">
        <v>2061</v>
      </c>
      <c r="BC2" s="13">
        <v>2062</v>
      </c>
      <c r="BD2" s="13">
        <v>2063</v>
      </c>
      <c r="BE2" s="13">
        <v>2064</v>
      </c>
      <c r="BF2" s="13">
        <v>2065</v>
      </c>
      <c r="BG2" s="13">
        <v>2066</v>
      </c>
      <c r="BH2" s="13">
        <v>2067</v>
      </c>
      <c r="BI2" s="13">
        <v>2068</v>
      </c>
      <c r="BJ2" s="13">
        <v>2069</v>
      </c>
      <c r="BK2" s="13">
        <v>2070</v>
      </c>
      <c r="BL2" s="13">
        <v>2071</v>
      </c>
      <c r="BM2" s="13">
        <v>2072</v>
      </c>
      <c r="BN2" s="13">
        <v>2073</v>
      </c>
      <c r="BO2" s="13">
        <v>2074</v>
      </c>
      <c r="BP2" s="13">
        <v>2075</v>
      </c>
      <c r="BQ2" s="13">
        <v>2076</v>
      </c>
      <c r="BR2" s="13">
        <v>2077</v>
      </c>
      <c r="BS2" s="13">
        <v>2078</v>
      </c>
      <c r="BT2" s="13">
        <v>2079</v>
      </c>
      <c r="BU2" s="13">
        <v>2080</v>
      </c>
      <c r="BV2" s="13">
        <v>2081</v>
      </c>
      <c r="BW2" s="13">
        <v>2082</v>
      </c>
      <c r="BX2" s="13">
        <v>2083</v>
      </c>
      <c r="BY2" s="13">
        <v>2084</v>
      </c>
      <c r="BZ2" s="13">
        <v>2085</v>
      </c>
      <c r="CA2" s="13">
        <v>2086</v>
      </c>
      <c r="CB2" s="13">
        <v>2087</v>
      </c>
      <c r="CC2" s="13">
        <v>2088</v>
      </c>
      <c r="CD2" s="13">
        <v>2089</v>
      </c>
      <c r="CE2" s="13">
        <v>2090</v>
      </c>
      <c r="CF2" s="13">
        <v>2091</v>
      </c>
      <c r="CG2" s="13">
        <v>2092</v>
      </c>
      <c r="CH2" s="13">
        <v>2093</v>
      </c>
      <c r="CI2" s="13">
        <v>2094</v>
      </c>
      <c r="CJ2" s="13">
        <v>2095</v>
      </c>
      <c r="CK2" s="13">
        <v>2096</v>
      </c>
      <c r="CL2" s="13">
        <v>2097</v>
      </c>
      <c r="CM2" s="13">
        <v>2098</v>
      </c>
      <c r="CN2" s="13">
        <v>2099</v>
      </c>
      <c r="CO2" s="13">
        <v>2100</v>
      </c>
    </row>
    <row r="3" spans="1:94" x14ac:dyDescent="0.2">
      <c r="C3" s="3"/>
      <c r="D3" s="3"/>
      <c r="E3" s="3"/>
      <c r="F3" s="3"/>
      <c r="G3" s="3"/>
      <c r="H3" s="3"/>
      <c r="I3" s="3"/>
      <c r="J3" s="3"/>
      <c r="K3" s="3"/>
      <c r="L3" s="3"/>
      <c r="M3" s="3"/>
      <c r="N3" s="3"/>
      <c r="O3" s="3"/>
      <c r="P3" s="3"/>
      <c r="Q3" s="3"/>
      <c r="R3" s="3"/>
      <c r="S3" s="3"/>
      <c r="T3" s="3"/>
      <c r="U3" s="3"/>
      <c r="V3" s="3"/>
      <c r="W3" s="39"/>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94" x14ac:dyDescent="0.2">
      <c r="A4" s="4" t="s">
        <v>25</v>
      </c>
      <c r="B4" s="5" t="s">
        <v>26</v>
      </c>
      <c r="C4" s="19">
        <v>14.180424401043915</v>
      </c>
      <c r="D4" s="19">
        <v>14.884304329450371</v>
      </c>
      <c r="E4" s="19">
        <v>15.907262357932646</v>
      </c>
      <c r="F4" s="19">
        <v>16.161676789886787</v>
      </c>
      <c r="G4" s="19">
        <v>17.116501862538918</v>
      </c>
      <c r="H4" s="19">
        <v>17.772245423990412</v>
      </c>
      <c r="I4" s="19">
        <v>18.370360261840176</v>
      </c>
      <c r="J4" s="19">
        <v>18.655853729515989</v>
      </c>
      <c r="K4" s="19">
        <v>18.506240697088408</v>
      </c>
      <c r="L4" s="19">
        <v>18.599429619701919</v>
      </c>
      <c r="M4" s="19">
        <v>18.715120727868943</v>
      </c>
      <c r="N4" s="19">
        <v>19.015117745548199</v>
      </c>
      <c r="O4" s="19">
        <v>19.638577657490362</v>
      </c>
      <c r="P4" s="19">
        <v>20.709045653758015</v>
      </c>
      <c r="Q4" s="19">
        <v>21.809291702856662</v>
      </c>
      <c r="R4" s="19">
        <v>24.248779176526025</v>
      </c>
      <c r="S4" s="19">
        <v>25.351627191406013</v>
      </c>
      <c r="T4" s="19">
        <v>26.451246841335077</v>
      </c>
      <c r="U4" s="19">
        <v>27.40872206432006</v>
      </c>
      <c r="V4" s="19">
        <v>27.167847491339234</v>
      </c>
      <c r="W4" s="26">
        <v>27.865029767086298</v>
      </c>
      <c r="X4" s="19">
        <v>27.865029767086298</v>
      </c>
      <c r="Y4" s="19">
        <v>27.865029767086298</v>
      </c>
      <c r="Z4" s="19">
        <v>27.865029767086298</v>
      </c>
      <c r="AA4" s="19">
        <v>27.865029767086298</v>
      </c>
      <c r="AB4" s="19">
        <v>27.865029767086298</v>
      </c>
      <c r="AC4" s="19">
        <v>27.865029767086298</v>
      </c>
      <c r="AD4" s="19">
        <v>27.865029767086298</v>
      </c>
      <c r="AE4" s="19">
        <v>27.865029767086298</v>
      </c>
      <c r="AF4" s="19">
        <v>27.865029767086298</v>
      </c>
      <c r="AG4" s="19">
        <v>27.865029767086298</v>
      </c>
      <c r="AH4" s="19">
        <v>27.865029767086298</v>
      </c>
      <c r="AI4" s="19">
        <v>27.865029767086298</v>
      </c>
      <c r="AJ4" s="19">
        <v>27.865029767086298</v>
      </c>
      <c r="AK4" s="19">
        <v>27.865029767086298</v>
      </c>
      <c r="AL4" s="19">
        <v>27.865029767086298</v>
      </c>
      <c r="AM4" s="19">
        <v>27.865029767086298</v>
      </c>
      <c r="AN4" s="19">
        <v>27.865029767086298</v>
      </c>
      <c r="AO4" s="19">
        <v>27.865029767086298</v>
      </c>
      <c r="AP4" s="19">
        <v>27.865029767086298</v>
      </c>
      <c r="AQ4" s="19">
        <v>27.865029767086298</v>
      </c>
      <c r="AR4" s="19">
        <v>27.865029767086298</v>
      </c>
      <c r="AS4" s="19">
        <v>27.865029767086298</v>
      </c>
      <c r="AT4" s="19">
        <v>27.865029767086298</v>
      </c>
      <c r="AU4" s="19">
        <v>27.865029767086298</v>
      </c>
      <c r="AV4" s="19">
        <v>27.865029767086298</v>
      </c>
      <c r="AW4" s="19">
        <v>27.865029767086298</v>
      </c>
      <c r="AX4" s="19">
        <v>27.865029767086298</v>
      </c>
      <c r="AY4" s="19">
        <v>27.865029767086298</v>
      </c>
      <c r="AZ4" s="19">
        <v>27.865029767086298</v>
      </c>
      <c r="BA4" s="19">
        <v>27.865029767086298</v>
      </c>
      <c r="BB4" s="19">
        <v>27.865029767086298</v>
      </c>
      <c r="BC4" s="19">
        <v>27.865029767086298</v>
      </c>
      <c r="BD4" s="19">
        <v>27.865029767086298</v>
      </c>
      <c r="BE4" s="19">
        <v>27.865029767086298</v>
      </c>
      <c r="BF4" s="19">
        <v>27.865029767086298</v>
      </c>
      <c r="BG4" s="19">
        <v>27.865029767086298</v>
      </c>
      <c r="BH4" s="19">
        <v>27.865029767086298</v>
      </c>
      <c r="BI4" s="19">
        <v>27.865029767086298</v>
      </c>
      <c r="BJ4" s="19">
        <v>27.865029767086298</v>
      </c>
      <c r="BK4" s="19">
        <v>27.865029767086298</v>
      </c>
      <c r="BL4" s="19">
        <v>27.865029767086298</v>
      </c>
      <c r="BM4" s="19">
        <v>27.865029767086298</v>
      </c>
      <c r="BN4" s="19">
        <v>27.865029767086298</v>
      </c>
      <c r="BO4" s="19">
        <v>27.865029767086298</v>
      </c>
      <c r="BP4" s="19">
        <v>27.865029767086298</v>
      </c>
      <c r="BQ4" s="19">
        <v>27.865029767086298</v>
      </c>
      <c r="BR4" s="19">
        <v>27.865029767086298</v>
      </c>
      <c r="BS4" s="19">
        <v>27.865029767086298</v>
      </c>
      <c r="BT4" s="19">
        <v>27.865029767086298</v>
      </c>
      <c r="BU4" s="19">
        <v>27.865029767086298</v>
      </c>
      <c r="BV4" s="19">
        <v>27.865029767086298</v>
      </c>
      <c r="BW4" s="19">
        <v>27.865029767086298</v>
      </c>
      <c r="BX4" s="19">
        <v>27.865029767086298</v>
      </c>
      <c r="BY4" s="19">
        <v>27.865029767086298</v>
      </c>
      <c r="BZ4" s="19">
        <v>27.865029767086298</v>
      </c>
      <c r="CA4" s="19">
        <v>27.865029767086298</v>
      </c>
      <c r="CB4" s="19">
        <v>27.865029767086298</v>
      </c>
      <c r="CC4" s="19">
        <v>27.865029767086298</v>
      </c>
      <c r="CD4" s="19">
        <v>27.865029767086298</v>
      </c>
      <c r="CE4" s="19">
        <v>27.865029767086298</v>
      </c>
      <c r="CF4" s="19">
        <v>27.865029767086298</v>
      </c>
      <c r="CG4" s="19">
        <v>27.865029767086298</v>
      </c>
      <c r="CH4" s="19">
        <v>27.865029767086298</v>
      </c>
      <c r="CI4" s="19">
        <v>27.865029767086298</v>
      </c>
      <c r="CJ4" s="19">
        <v>27.865029767086298</v>
      </c>
      <c r="CK4" s="19">
        <v>27.865029767086298</v>
      </c>
      <c r="CL4" s="19">
        <v>27.865029767086298</v>
      </c>
      <c r="CM4" s="19">
        <v>27.865029767086298</v>
      </c>
      <c r="CN4" s="19">
        <v>27.865029767086298</v>
      </c>
      <c r="CO4" s="19">
        <v>27.865029767086298</v>
      </c>
      <c r="CP4" s="14"/>
    </row>
    <row r="5" spans="1:94" x14ac:dyDescent="0.2">
      <c r="A5" s="4" t="s">
        <v>27</v>
      </c>
      <c r="B5" s="5" t="s">
        <v>26</v>
      </c>
      <c r="C5" s="19">
        <v>12.662791534047125</v>
      </c>
      <c r="D5" s="19">
        <v>13.256172831115791</v>
      </c>
      <c r="E5" s="19">
        <v>14.098699713052232</v>
      </c>
      <c r="F5" s="19">
        <v>14.820985627792211</v>
      </c>
      <c r="G5" s="19">
        <v>15.598351356763235</v>
      </c>
      <c r="H5" s="19">
        <v>16.245394779803416</v>
      </c>
      <c r="I5" s="19">
        <v>16.881884301356049</v>
      </c>
      <c r="J5" s="19">
        <v>17.152452731034384</v>
      </c>
      <c r="K5" s="19">
        <v>17.029901457044627</v>
      </c>
      <c r="L5" s="19">
        <v>17.214148423809856</v>
      </c>
      <c r="M5" s="19">
        <v>17.34678103653399</v>
      </c>
      <c r="N5" s="19">
        <v>17.870328060078069</v>
      </c>
      <c r="O5" s="19">
        <v>18.514956162379811</v>
      </c>
      <c r="P5" s="19">
        <v>19.621855651230749</v>
      </c>
      <c r="Q5" s="19">
        <v>20.760154309681464</v>
      </c>
      <c r="R5" s="19">
        <v>23.28962520650348</v>
      </c>
      <c r="S5" s="19">
        <v>24.432229436705335</v>
      </c>
      <c r="T5" s="19">
        <v>25.574833666907189</v>
      </c>
      <c r="U5" s="19">
        <v>26.570628401789691</v>
      </c>
      <c r="V5" s="19">
        <v>26.3242131794958</v>
      </c>
      <c r="W5" s="26">
        <v>27.05164477754812</v>
      </c>
      <c r="X5" s="19">
        <v>27.05164477754812</v>
      </c>
      <c r="Y5" s="19">
        <v>27.05164477754812</v>
      </c>
      <c r="Z5" s="19">
        <v>27.05164477754812</v>
      </c>
      <c r="AA5" s="19">
        <v>27.05164477754812</v>
      </c>
      <c r="AB5" s="19">
        <v>27.05164477754812</v>
      </c>
      <c r="AC5" s="19">
        <v>27.05164477754812</v>
      </c>
      <c r="AD5" s="19">
        <v>27.05164477754812</v>
      </c>
      <c r="AE5" s="19">
        <v>27.05164477754812</v>
      </c>
      <c r="AF5" s="19">
        <v>27.05164477754812</v>
      </c>
      <c r="AG5" s="19">
        <v>27.05164477754812</v>
      </c>
      <c r="AH5" s="19">
        <v>27.05164477754812</v>
      </c>
      <c r="AI5" s="19">
        <v>27.05164477754812</v>
      </c>
      <c r="AJ5" s="19">
        <v>27.05164477754812</v>
      </c>
      <c r="AK5" s="19">
        <v>27.05164477754812</v>
      </c>
      <c r="AL5" s="19">
        <v>27.05164477754812</v>
      </c>
      <c r="AM5" s="19">
        <v>27.05164477754812</v>
      </c>
      <c r="AN5" s="19">
        <v>27.05164477754812</v>
      </c>
      <c r="AO5" s="19">
        <v>27.05164477754812</v>
      </c>
      <c r="AP5" s="19">
        <v>27.05164477754812</v>
      </c>
      <c r="AQ5" s="19">
        <v>27.05164477754812</v>
      </c>
      <c r="AR5" s="19">
        <v>27.05164477754812</v>
      </c>
      <c r="AS5" s="19">
        <v>27.05164477754812</v>
      </c>
      <c r="AT5" s="19">
        <v>27.05164477754812</v>
      </c>
      <c r="AU5" s="19">
        <v>27.05164477754812</v>
      </c>
      <c r="AV5" s="19">
        <v>27.05164477754812</v>
      </c>
      <c r="AW5" s="19">
        <v>27.05164477754812</v>
      </c>
      <c r="AX5" s="19">
        <v>27.05164477754812</v>
      </c>
      <c r="AY5" s="19">
        <v>27.05164477754812</v>
      </c>
      <c r="AZ5" s="19">
        <v>27.05164477754812</v>
      </c>
      <c r="BA5" s="19">
        <v>27.05164477754812</v>
      </c>
      <c r="BB5" s="19">
        <v>27.05164477754812</v>
      </c>
      <c r="BC5" s="19">
        <v>27.05164477754812</v>
      </c>
      <c r="BD5" s="19">
        <v>27.05164477754812</v>
      </c>
      <c r="BE5" s="19">
        <v>27.05164477754812</v>
      </c>
      <c r="BF5" s="19">
        <v>27.05164477754812</v>
      </c>
      <c r="BG5" s="19">
        <v>27.05164477754812</v>
      </c>
      <c r="BH5" s="19">
        <v>27.05164477754812</v>
      </c>
      <c r="BI5" s="19">
        <v>27.05164477754812</v>
      </c>
      <c r="BJ5" s="19">
        <v>27.05164477754812</v>
      </c>
      <c r="BK5" s="19">
        <v>27.05164477754812</v>
      </c>
      <c r="BL5" s="19">
        <v>27.05164477754812</v>
      </c>
      <c r="BM5" s="19">
        <v>27.05164477754812</v>
      </c>
      <c r="BN5" s="19">
        <v>27.05164477754812</v>
      </c>
      <c r="BO5" s="19">
        <v>27.05164477754812</v>
      </c>
      <c r="BP5" s="19">
        <v>27.05164477754812</v>
      </c>
      <c r="BQ5" s="19">
        <v>27.05164477754812</v>
      </c>
      <c r="BR5" s="19">
        <v>27.05164477754812</v>
      </c>
      <c r="BS5" s="19">
        <v>27.05164477754812</v>
      </c>
      <c r="BT5" s="19">
        <v>27.05164477754812</v>
      </c>
      <c r="BU5" s="19">
        <v>27.05164477754812</v>
      </c>
      <c r="BV5" s="19">
        <v>27.05164477754812</v>
      </c>
      <c r="BW5" s="19">
        <v>27.05164477754812</v>
      </c>
      <c r="BX5" s="19">
        <v>27.05164477754812</v>
      </c>
      <c r="BY5" s="19">
        <v>27.05164477754812</v>
      </c>
      <c r="BZ5" s="19">
        <v>27.05164477754812</v>
      </c>
      <c r="CA5" s="19">
        <v>27.05164477754812</v>
      </c>
      <c r="CB5" s="19">
        <v>27.05164477754812</v>
      </c>
      <c r="CC5" s="19">
        <v>27.05164477754812</v>
      </c>
      <c r="CD5" s="19">
        <v>27.05164477754812</v>
      </c>
      <c r="CE5" s="19">
        <v>27.05164477754812</v>
      </c>
      <c r="CF5" s="19">
        <v>27.05164477754812</v>
      </c>
      <c r="CG5" s="19">
        <v>27.05164477754812</v>
      </c>
      <c r="CH5" s="19">
        <v>27.05164477754812</v>
      </c>
      <c r="CI5" s="19">
        <v>27.05164477754812</v>
      </c>
      <c r="CJ5" s="19">
        <v>27.05164477754812</v>
      </c>
      <c r="CK5" s="19">
        <v>27.05164477754812</v>
      </c>
      <c r="CL5" s="19">
        <v>27.05164477754812</v>
      </c>
      <c r="CM5" s="19">
        <v>27.05164477754812</v>
      </c>
      <c r="CN5" s="19">
        <v>27.05164477754812</v>
      </c>
      <c r="CO5" s="19">
        <v>27.05164477754812</v>
      </c>
      <c r="CP5" s="14"/>
    </row>
    <row r="6" spans="1:94" x14ac:dyDescent="0.2">
      <c r="A6" s="4" t="s">
        <v>51</v>
      </c>
      <c r="B6" s="5" t="s">
        <v>26</v>
      </c>
      <c r="C6" s="19">
        <v>11.620379179505374</v>
      </c>
      <c r="D6" s="19">
        <v>12.16491279607995</v>
      </c>
      <c r="E6" s="19">
        <v>12.938082109552703</v>
      </c>
      <c r="F6" s="19">
        <v>13.600908800075651</v>
      </c>
      <c r="G6" s="19">
        <v>14.314281085128881</v>
      </c>
      <c r="H6" s="19">
        <v>14.908059313343058</v>
      </c>
      <c r="I6" s="19">
        <v>15.492152446704441</v>
      </c>
      <c r="J6" s="19">
        <v>15.740447440617263</v>
      </c>
      <c r="K6" s="19">
        <v>15.627984697401173</v>
      </c>
      <c r="L6" s="19">
        <v>15.797064288637358</v>
      </c>
      <c r="M6" s="19">
        <v>15.91877846574269</v>
      </c>
      <c r="N6" s="19">
        <v>16.399226628813665</v>
      </c>
      <c r="O6" s="19">
        <v>16.990788367658549</v>
      </c>
      <c r="P6" s="19">
        <v>18.006566897966362</v>
      </c>
      <c r="Q6" s="19">
        <v>19.05115979007504</v>
      </c>
      <c r="R6" s="19">
        <v>21.37240237434753</v>
      </c>
      <c r="S6" s="19">
        <v>22.420946399679739</v>
      </c>
      <c r="T6" s="19">
        <v>23.469490425011948</v>
      </c>
      <c r="U6" s="19">
        <v>24.383310444332075</v>
      </c>
      <c r="V6" s="19">
        <v>24.157180344112227</v>
      </c>
      <c r="W6" s="26">
        <v>24.824729120682811</v>
      </c>
      <c r="X6" s="19">
        <v>24.824729120682811</v>
      </c>
      <c r="Y6" s="19">
        <v>24.824729120682811</v>
      </c>
      <c r="Z6" s="19">
        <v>24.824729120682811</v>
      </c>
      <c r="AA6" s="19">
        <v>24.824729120682811</v>
      </c>
      <c r="AB6" s="19">
        <v>24.824729120682811</v>
      </c>
      <c r="AC6" s="19">
        <v>24.824729120682811</v>
      </c>
      <c r="AD6" s="19">
        <v>24.824729120682811</v>
      </c>
      <c r="AE6" s="19">
        <v>24.824729120682811</v>
      </c>
      <c r="AF6" s="19">
        <v>24.824729120682811</v>
      </c>
      <c r="AG6" s="19">
        <v>24.824729120682811</v>
      </c>
      <c r="AH6" s="19">
        <v>24.824729120682811</v>
      </c>
      <c r="AI6" s="19">
        <v>24.824729120682811</v>
      </c>
      <c r="AJ6" s="19">
        <v>24.824729120682811</v>
      </c>
      <c r="AK6" s="19">
        <v>24.824729120682811</v>
      </c>
      <c r="AL6" s="19">
        <v>24.824729120682811</v>
      </c>
      <c r="AM6" s="19">
        <v>24.824729120682811</v>
      </c>
      <c r="AN6" s="19">
        <v>24.824729120682811</v>
      </c>
      <c r="AO6" s="19">
        <v>24.824729120682811</v>
      </c>
      <c r="AP6" s="19">
        <v>24.824729120682811</v>
      </c>
      <c r="AQ6" s="19">
        <v>24.824729120682811</v>
      </c>
      <c r="AR6" s="19">
        <v>24.824729120682811</v>
      </c>
      <c r="AS6" s="19">
        <v>24.824729120682811</v>
      </c>
      <c r="AT6" s="19">
        <v>24.824729120682811</v>
      </c>
      <c r="AU6" s="19">
        <v>24.824729120682811</v>
      </c>
      <c r="AV6" s="19">
        <v>24.824729120682811</v>
      </c>
      <c r="AW6" s="19">
        <v>24.824729120682811</v>
      </c>
      <c r="AX6" s="19">
        <v>24.824729120682811</v>
      </c>
      <c r="AY6" s="19">
        <v>24.824729120682811</v>
      </c>
      <c r="AZ6" s="19">
        <v>24.824729120682811</v>
      </c>
      <c r="BA6" s="19">
        <v>24.824729120682811</v>
      </c>
      <c r="BB6" s="19">
        <v>24.824729120682811</v>
      </c>
      <c r="BC6" s="19">
        <v>24.824729120682811</v>
      </c>
      <c r="BD6" s="19">
        <v>24.824729120682811</v>
      </c>
      <c r="BE6" s="19">
        <v>24.824729120682811</v>
      </c>
      <c r="BF6" s="19">
        <v>24.824729120682811</v>
      </c>
      <c r="BG6" s="19">
        <v>24.824729120682811</v>
      </c>
      <c r="BH6" s="19">
        <v>24.824729120682811</v>
      </c>
      <c r="BI6" s="19">
        <v>24.824729120682811</v>
      </c>
      <c r="BJ6" s="19">
        <v>24.824729120682811</v>
      </c>
      <c r="BK6" s="19">
        <v>24.824729120682811</v>
      </c>
      <c r="BL6" s="19">
        <v>24.824729120682811</v>
      </c>
      <c r="BM6" s="19">
        <v>24.824729120682811</v>
      </c>
      <c r="BN6" s="19">
        <v>24.824729120682811</v>
      </c>
      <c r="BO6" s="19">
        <v>24.824729120682811</v>
      </c>
      <c r="BP6" s="19">
        <v>24.824729120682811</v>
      </c>
      <c r="BQ6" s="19">
        <v>24.824729120682811</v>
      </c>
      <c r="BR6" s="19">
        <v>24.824729120682811</v>
      </c>
      <c r="BS6" s="19">
        <v>24.824729120682811</v>
      </c>
      <c r="BT6" s="19">
        <v>24.824729120682811</v>
      </c>
      <c r="BU6" s="19">
        <v>24.824729120682811</v>
      </c>
      <c r="BV6" s="19">
        <v>24.824729120682811</v>
      </c>
      <c r="BW6" s="19">
        <v>24.824729120682811</v>
      </c>
      <c r="BX6" s="19">
        <v>24.824729120682811</v>
      </c>
      <c r="BY6" s="19">
        <v>24.824729120682811</v>
      </c>
      <c r="BZ6" s="19">
        <v>24.824729120682811</v>
      </c>
      <c r="CA6" s="19">
        <v>24.824729120682811</v>
      </c>
      <c r="CB6" s="19">
        <v>24.824729120682811</v>
      </c>
      <c r="CC6" s="19">
        <v>24.824729120682811</v>
      </c>
      <c r="CD6" s="19">
        <v>24.824729120682811</v>
      </c>
      <c r="CE6" s="19">
        <v>24.824729120682811</v>
      </c>
      <c r="CF6" s="19">
        <v>24.824729120682811</v>
      </c>
      <c r="CG6" s="19">
        <v>24.824729120682811</v>
      </c>
      <c r="CH6" s="19">
        <v>24.824729120682811</v>
      </c>
      <c r="CI6" s="19">
        <v>24.824729120682811</v>
      </c>
      <c r="CJ6" s="19">
        <v>24.824729120682811</v>
      </c>
      <c r="CK6" s="19">
        <v>24.824729120682811</v>
      </c>
      <c r="CL6" s="19">
        <v>24.824729120682811</v>
      </c>
      <c r="CM6" s="19">
        <v>24.824729120682811</v>
      </c>
      <c r="CN6" s="19">
        <v>24.824729120682811</v>
      </c>
      <c r="CO6" s="19">
        <v>24.824729120682811</v>
      </c>
      <c r="CP6" s="14"/>
    </row>
    <row r="7" spans="1:94" s="6" customFormat="1" x14ac:dyDescent="0.2">
      <c r="A7" s="4" t="s">
        <v>29</v>
      </c>
      <c r="B7" s="5" t="s">
        <v>26</v>
      </c>
      <c r="C7" s="19">
        <v>9.8105551956776527</v>
      </c>
      <c r="D7" s="19">
        <v>10.373898046494824</v>
      </c>
      <c r="E7" s="19">
        <v>11.127446695634863</v>
      </c>
      <c r="F7" s="19">
        <v>11.717672840512252</v>
      </c>
      <c r="G7" s="19">
        <v>12.311915292272598</v>
      </c>
      <c r="H7" s="19">
        <v>12.771200109555119</v>
      </c>
      <c r="I7" s="19">
        <v>13.282131705944556</v>
      </c>
      <c r="J7" s="19">
        <v>13.423745189098554</v>
      </c>
      <c r="K7" s="19">
        <v>12.98706188316476</v>
      </c>
      <c r="L7" s="19">
        <v>13.083672887463488</v>
      </c>
      <c r="M7" s="19">
        <v>13.110511733379138</v>
      </c>
      <c r="N7" s="19">
        <v>13.236404921189225</v>
      </c>
      <c r="O7" s="19">
        <v>13.399161063659253</v>
      </c>
      <c r="P7" s="19">
        <v>14.095612702333488</v>
      </c>
      <c r="Q7" s="19">
        <v>14.771151256497427</v>
      </c>
      <c r="R7" s="19">
        <v>16.987398268575099</v>
      </c>
      <c r="S7" s="19">
        <v>17.708948987871477</v>
      </c>
      <c r="T7" s="19">
        <v>18.419052634046675</v>
      </c>
      <c r="U7" s="19">
        <v>19.123918505066804</v>
      </c>
      <c r="V7" s="19">
        <v>18.421427984016475</v>
      </c>
      <c r="W7" s="26">
        <v>18.752933414748746</v>
      </c>
      <c r="X7" s="19">
        <v>18.752933414748746</v>
      </c>
      <c r="Y7" s="19">
        <v>18.752933414748746</v>
      </c>
      <c r="Z7" s="19">
        <v>18.752933414748746</v>
      </c>
      <c r="AA7" s="19">
        <v>18.752933414748746</v>
      </c>
      <c r="AB7" s="19">
        <v>18.752933414748746</v>
      </c>
      <c r="AC7" s="19">
        <v>18.752933414748746</v>
      </c>
      <c r="AD7" s="19">
        <v>18.752933414748746</v>
      </c>
      <c r="AE7" s="19">
        <v>18.752933414748746</v>
      </c>
      <c r="AF7" s="19">
        <v>18.752933414748746</v>
      </c>
      <c r="AG7" s="19">
        <v>18.752933414748746</v>
      </c>
      <c r="AH7" s="19">
        <v>18.752933414748746</v>
      </c>
      <c r="AI7" s="19">
        <v>18.752933414748746</v>
      </c>
      <c r="AJ7" s="19">
        <v>18.752933414748746</v>
      </c>
      <c r="AK7" s="19">
        <v>18.752933414748746</v>
      </c>
      <c r="AL7" s="19">
        <v>18.752933414748746</v>
      </c>
      <c r="AM7" s="19">
        <v>18.752933414748746</v>
      </c>
      <c r="AN7" s="19">
        <v>18.752933414748746</v>
      </c>
      <c r="AO7" s="19">
        <v>18.752933414748746</v>
      </c>
      <c r="AP7" s="19">
        <v>18.752933414748746</v>
      </c>
      <c r="AQ7" s="19">
        <v>18.752933414748746</v>
      </c>
      <c r="AR7" s="19">
        <v>18.752933414748746</v>
      </c>
      <c r="AS7" s="19">
        <v>18.752933414748746</v>
      </c>
      <c r="AT7" s="19">
        <v>18.752933414748746</v>
      </c>
      <c r="AU7" s="19">
        <v>18.752933414748746</v>
      </c>
      <c r="AV7" s="19">
        <v>18.752933414748746</v>
      </c>
      <c r="AW7" s="19">
        <v>18.752933414748746</v>
      </c>
      <c r="AX7" s="19">
        <v>18.752933414748746</v>
      </c>
      <c r="AY7" s="19">
        <v>18.752933414748746</v>
      </c>
      <c r="AZ7" s="19">
        <v>18.752933414748746</v>
      </c>
      <c r="BA7" s="19">
        <v>18.752933414748746</v>
      </c>
      <c r="BB7" s="19">
        <v>18.752933414748746</v>
      </c>
      <c r="BC7" s="19">
        <v>18.752933414748746</v>
      </c>
      <c r="BD7" s="19">
        <v>18.752933414748746</v>
      </c>
      <c r="BE7" s="19">
        <v>18.752933414748746</v>
      </c>
      <c r="BF7" s="19">
        <v>18.752933414748746</v>
      </c>
      <c r="BG7" s="19">
        <v>18.752933414748746</v>
      </c>
      <c r="BH7" s="19">
        <v>18.752933414748746</v>
      </c>
      <c r="BI7" s="19">
        <v>18.752933414748746</v>
      </c>
      <c r="BJ7" s="19">
        <v>18.752933414748746</v>
      </c>
      <c r="BK7" s="19">
        <v>18.752933414748746</v>
      </c>
      <c r="BL7" s="19">
        <v>18.752933414748746</v>
      </c>
      <c r="BM7" s="19">
        <v>18.752933414748746</v>
      </c>
      <c r="BN7" s="19">
        <v>18.752933414748746</v>
      </c>
      <c r="BO7" s="19">
        <v>18.752933414748746</v>
      </c>
      <c r="BP7" s="19">
        <v>18.752933414748746</v>
      </c>
      <c r="BQ7" s="19">
        <v>18.752933414748746</v>
      </c>
      <c r="BR7" s="19">
        <v>18.752933414748746</v>
      </c>
      <c r="BS7" s="19">
        <v>18.752933414748746</v>
      </c>
      <c r="BT7" s="19">
        <v>18.752933414748746</v>
      </c>
      <c r="BU7" s="19">
        <v>18.752933414748746</v>
      </c>
      <c r="BV7" s="19">
        <v>18.752933414748746</v>
      </c>
      <c r="BW7" s="19">
        <v>18.752933414748746</v>
      </c>
      <c r="BX7" s="19">
        <v>18.752933414748746</v>
      </c>
      <c r="BY7" s="19">
        <v>18.752933414748746</v>
      </c>
      <c r="BZ7" s="19">
        <v>18.752933414748746</v>
      </c>
      <c r="CA7" s="19">
        <v>18.752933414748746</v>
      </c>
      <c r="CB7" s="19">
        <v>18.752933414748746</v>
      </c>
      <c r="CC7" s="19">
        <v>18.752933414748746</v>
      </c>
      <c r="CD7" s="19">
        <v>18.752933414748746</v>
      </c>
      <c r="CE7" s="19">
        <v>18.752933414748746</v>
      </c>
      <c r="CF7" s="19">
        <v>18.752933414748746</v>
      </c>
      <c r="CG7" s="19">
        <v>18.752933414748746</v>
      </c>
      <c r="CH7" s="19">
        <v>18.752933414748746</v>
      </c>
      <c r="CI7" s="19">
        <v>18.752933414748746</v>
      </c>
      <c r="CJ7" s="19">
        <v>18.752933414748746</v>
      </c>
      <c r="CK7" s="19">
        <v>18.752933414748746</v>
      </c>
      <c r="CL7" s="19">
        <v>18.752933414748746</v>
      </c>
      <c r="CM7" s="19">
        <v>18.752933414748746</v>
      </c>
      <c r="CN7" s="19">
        <v>18.752933414748746</v>
      </c>
      <c r="CO7" s="19">
        <v>18.752933414748746</v>
      </c>
      <c r="CP7" s="14"/>
    </row>
    <row r="8" spans="1:94" s="6" customFormat="1" x14ac:dyDescent="0.2">
      <c r="A8" s="4" t="s">
        <v>30</v>
      </c>
      <c r="B8" s="5" t="s">
        <v>26</v>
      </c>
      <c r="C8" s="19">
        <v>9.0921650953928754</v>
      </c>
      <c r="D8" s="19">
        <v>9.6163091049694795</v>
      </c>
      <c r="E8" s="19">
        <v>10.319815534987162</v>
      </c>
      <c r="F8" s="19">
        <v>10.86959895489319</v>
      </c>
      <c r="G8" s="19">
        <v>11.423345850738945</v>
      </c>
      <c r="H8" s="19">
        <v>11.850127449391364</v>
      </c>
      <c r="I8" s="19">
        <v>12.325781629911262</v>
      </c>
      <c r="J8" s="19">
        <v>12.453680521758303</v>
      </c>
      <c r="K8" s="19">
        <v>12.036933985111453</v>
      </c>
      <c r="L8" s="19">
        <v>12.122921724420866</v>
      </c>
      <c r="M8" s="19">
        <v>12.143434680875156</v>
      </c>
      <c r="N8" s="19">
        <v>12.257558245356034</v>
      </c>
      <c r="O8" s="19">
        <v>12.406707399426727</v>
      </c>
      <c r="P8" s="19">
        <v>13.059021704679472</v>
      </c>
      <c r="Q8" s="19">
        <v>13.691949374213641</v>
      </c>
      <c r="R8" s="19">
        <v>15.77689754087115</v>
      </c>
      <c r="S8" s="19">
        <v>16.453852904225357</v>
      </c>
      <c r="T8" s="19">
        <v>17.120378269346908</v>
      </c>
      <c r="U8" s="19">
        <v>17.78233654612665</v>
      </c>
      <c r="V8" s="19">
        <v>17.118632749481684</v>
      </c>
      <c r="W8" s="26">
        <v>17.4295756256601</v>
      </c>
      <c r="X8" s="19">
        <v>17.4295756256601</v>
      </c>
      <c r="Y8" s="19">
        <v>17.4295756256601</v>
      </c>
      <c r="Z8" s="19">
        <v>17.4295756256601</v>
      </c>
      <c r="AA8" s="19">
        <v>17.4295756256601</v>
      </c>
      <c r="AB8" s="19">
        <v>17.4295756256601</v>
      </c>
      <c r="AC8" s="19">
        <v>17.4295756256601</v>
      </c>
      <c r="AD8" s="19">
        <v>17.4295756256601</v>
      </c>
      <c r="AE8" s="19">
        <v>17.4295756256601</v>
      </c>
      <c r="AF8" s="19">
        <v>17.4295756256601</v>
      </c>
      <c r="AG8" s="19">
        <v>17.4295756256601</v>
      </c>
      <c r="AH8" s="19">
        <v>17.4295756256601</v>
      </c>
      <c r="AI8" s="19">
        <v>17.4295756256601</v>
      </c>
      <c r="AJ8" s="19">
        <v>17.4295756256601</v>
      </c>
      <c r="AK8" s="19">
        <v>17.4295756256601</v>
      </c>
      <c r="AL8" s="19">
        <v>17.4295756256601</v>
      </c>
      <c r="AM8" s="19">
        <v>17.4295756256601</v>
      </c>
      <c r="AN8" s="19">
        <v>17.4295756256601</v>
      </c>
      <c r="AO8" s="19">
        <v>17.4295756256601</v>
      </c>
      <c r="AP8" s="19">
        <v>17.4295756256601</v>
      </c>
      <c r="AQ8" s="19">
        <v>17.4295756256601</v>
      </c>
      <c r="AR8" s="19">
        <v>17.4295756256601</v>
      </c>
      <c r="AS8" s="19">
        <v>17.4295756256601</v>
      </c>
      <c r="AT8" s="19">
        <v>17.4295756256601</v>
      </c>
      <c r="AU8" s="19">
        <v>17.4295756256601</v>
      </c>
      <c r="AV8" s="19">
        <v>17.4295756256601</v>
      </c>
      <c r="AW8" s="19">
        <v>17.4295756256601</v>
      </c>
      <c r="AX8" s="19">
        <v>17.4295756256601</v>
      </c>
      <c r="AY8" s="19">
        <v>17.4295756256601</v>
      </c>
      <c r="AZ8" s="19">
        <v>17.4295756256601</v>
      </c>
      <c r="BA8" s="19">
        <v>17.4295756256601</v>
      </c>
      <c r="BB8" s="19">
        <v>17.4295756256601</v>
      </c>
      <c r="BC8" s="19">
        <v>17.4295756256601</v>
      </c>
      <c r="BD8" s="19">
        <v>17.4295756256601</v>
      </c>
      <c r="BE8" s="19">
        <v>17.4295756256601</v>
      </c>
      <c r="BF8" s="19">
        <v>17.4295756256601</v>
      </c>
      <c r="BG8" s="19">
        <v>17.4295756256601</v>
      </c>
      <c r="BH8" s="19">
        <v>17.4295756256601</v>
      </c>
      <c r="BI8" s="19">
        <v>17.4295756256601</v>
      </c>
      <c r="BJ8" s="19">
        <v>17.4295756256601</v>
      </c>
      <c r="BK8" s="19">
        <v>17.4295756256601</v>
      </c>
      <c r="BL8" s="19">
        <v>17.4295756256601</v>
      </c>
      <c r="BM8" s="19">
        <v>17.4295756256601</v>
      </c>
      <c r="BN8" s="19">
        <v>17.4295756256601</v>
      </c>
      <c r="BO8" s="19">
        <v>17.4295756256601</v>
      </c>
      <c r="BP8" s="19">
        <v>17.4295756256601</v>
      </c>
      <c r="BQ8" s="19">
        <v>17.4295756256601</v>
      </c>
      <c r="BR8" s="19">
        <v>17.4295756256601</v>
      </c>
      <c r="BS8" s="19">
        <v>17.4295756256601</v>
      </c>
      <c r="BT8" s="19">
        <v>17.4295756256601</v>
      </c>
      <c r="BU8" s="19">
        <v>17.4295756256601</v>
      </c>
      <c r="BV8" s="19">
        <v>17.4295756256601</v>
      </c>
      <c r="BW8" s="19">
        <v>17.4295756256601</v>
      </c>
      <c r="BX8" s="19">
        <v>17.4295756256601</v>
      </c>
      <c r="BY8" s="19">
        <v>17.4295756256601</v>
      </c>
      <c r="BZ8" s="19">
        <v>17.4295756256601</v>
      </c>
      <c r="CA8" s="19">
        <v>17.4295756256601</v>
      </c>
      <c r="CB8" s="19">
        <v>17.4295756256601</v>
      </c>
      <c r="CC8" s="19">
        <v>17.4295756256601</v>
      </c>
      <c r="CD8" s="19">
        <v>17.4295756256601</v>
      </c>
      <c r="CE8" s="19">
        <v>17.4295756256601</v>
      </c>
      <c r="CF8" s="19">
        <v>17.4295756256601</v>
      </c>
      <c r="CG8" s="19">
        <v>17.4295756256601</v>
      </c>
      <c r="CH8" s="19">
        <v>17.4295756256601</v>
      </c>
      <c r="CI8" s="19">
        <v>17.4295756256601</v>
      </c>
      <c r="CJ8" s="19">
        <v>17.4295756256601</v>
      </c>
      <c r="CK8" s="19">
        <v>17.4295756256601</v>
      </c>
      <c r="CL8" s="19">
        <v>17.4295756256601</v>
      </c>
      <c r="CM8" s="19">
        <v>17.4295756256601</v>
      </c>
      <c r="CN8" s="19">
        <v>17.4295756256601</v>
      </c>
      <c r="CO8" s="19">
        <v>17.4295756256601</v>
      </c>
      <c r="CP8" s="14"/>
    </row>
    <row r="9" spans="1:94" s="6" customFormat="1" x14ac:dyDescent="0.2">
      <c r="A9" s="4" t="s">
        <v>31</v>
      </c>
      <c r="B9" s="5" t="s">
        <v>26</v>
      </c>
      <c r="C9" s="19">
        <v>8.4935806180490143</v>
      </c>
      <c r="D9" s="19">
        <v>8.9829164219067135</v>
      </c>
      <c r="E9" s="19">
        <v>9.6392457077414555</v>
      </c>
      <c r="F9" s="19">
        <v>10.152472721753432</v>
      </c>
      <c r="G9" s="19">
        <v>10.669402034321871</v>
      </c>
      <c r="H9" s="19">
        <v>11.068142242067697</v>
      </c>
      <c r="I9" s="19">
        <v>11.512396480899312</v>
      </c>
      <c r="J9" s="19">
        <v>11.632911907193613</v>
      </c>
      <c r="K9" s="19">
        <v>11.24638810554757</v>
      </c>
      <c r="L9" s="19">
        <v>11.327918856291793</v>
      </c>
      <c r="M9" s="19">
        <v>11.348512054597382</v>
      </c>
      <c r="N9" s="19">
        <v>11.456274432380631</v>
      </c>
      <c r="O9" s="19">
        <v>11.596665229836633</v>
      </c>
      <c r="P9" s="19">
        <v>12.205515366089944</v>
      </c>
      <c r="Q9" s="19">
        <v>12.796338828611542</v>
      </c>
      <c r="R9" s="19">
        <v>14.738991688537187</v>
      </c>
      <c r="S9" s="19">
        <v>15.370850708760273</v>
      </c>
      <c r="T9" s="19">
        <v>15.993024125213319</v>
      </c>
      <c r="U9" s="19">
        <v>16.610971061860958</v>
      </c>
      <c r="V9" s="19">
        <v>15.99477524134017</v>
      </c>
      <c r="W9" s="26">
        <v>16.285986122977128</v>
      </c>
      <c r="X9" s="19">
        <v>16.285986122977128</v>
      </c>
      <c r="Y9" s="19">
        <v>16.285986122977128</v>
      </c>
      <c r="Z9" s="19">
        <v>16.285986122977128</v>
      </c>
      <c r="AA9" s="19">
        <v>16.285986122977128</v>
      </c>
      <c r="AB9" s="19">
        <v>16.285986122977128</v>
      </c>
      <c r="AC9" s="19">
        <v>16.285986122977128</v>
      </c>
      <c r="AD9" s="19">
        <v>16.285986122977128</v>
      </c>
      <c r="AE9" s="19">
        <v>16.285986122977128</v>
      </c>
      <c r="AF9" s="19">
        <v>16.285986122977128</v>
      </c>
      <c r="AG9" s="19">
        <v>16.285986122977128</v>
      </c>
      <c r="AH9" s="19">
        <v>16.285986122977128</v>
      </c>
      <c r="AI9" s="19">
        <v>16.285986122977128</v>
      </c>
      <c r="AJ9" s="19">
        <v>16.285986122977128</v>
      </c>
      <c r="AK9" s="19">
        <v>16.285986122977128</v>
      </c>
      <c r="AL9" s="19">
        <v>16.285986122977128</v>
      </c>
      <c r="AM9" s="19">
        <v>16.285986122977128</v>
      </c>
      <c r="AN9" s="19">
        <v>16.285986122977128</v>
      </c>
      <c r="AO9" s="19">
        <v>16.285986122977128</v>
      </c>
      <c r="AP9" s="19">
        <v>16.285986122977128</v>
      </c>
      <c r="AQ9" s="19">
        <v>16.285986122977128</v>
      </c>
      <c r="AR9" s="19">
        <v>16.285986122977128</v>
      </c>
      <c r="AS9" s="19">
        <v>16.285986122977128</v>
      </c>
      <c r="AT9" s="19">
        <v>16.285986122977128</v>
      </c>
      <c r="AU9" s="19">
        <v>16.285986122977128</v>
      </c>
      <c r="AV9" s="19">
        <v>16.285986122977128</v>
      </c>
      <c r="AW9" s="19">
        <v>16.285986122977128</v>
      </c>
      <c r="AX9" s="19">
        <v>16.285986122977128</v>
      </c>
      <c r="AY9" s="19">
        <v>16.285986122977128</v>
      </c>
      <c r="AZ9" s="19">
        <v>16.285986122977128</v>
      </c>
      <c r="BA9" s="19">
        <v>16.285986122977128</v>
      </c>
      <c r="BB9" s="19">
        <v>16.285986122977128</v>
      </c>
      <c r="BC9" s="19">
        <v>16.285986122977128</v>
      </c>
      <c r="BD9" s="19">
        <v>16.285986122977128</v>
      </c>
      <c r="BE9" s="19">
        <v>16.285986122977128</v>
      </c>
      <c r="BF9" s="19">
        <v>16.285986122977128</v>
      </c>
      <c r="BG9" s="19">
        <v>16.285986122977128</v>
      </c>
      <c r="BH9" s="19">
        <v>16.285986122977128</v>
      </c>
      <c r="BI9" s="19">
        <v>16.285986122977128</v>
      </c>
      <c r="BJ9" s="19">
        <v>16.285986122977128</v>
      </c>
      <c r="BK9" s="19">
        <v>16.285986122977128</v>
      </c>
      <c r="BL9" s="19">
        <v>16.285986122977128</v>
      </c>
      <c r="BM9" s="19">
        <v>16.285986122977128</v>
      </c>
      <c r="BN9" s="19">
        <v>16.285986122977128</v>
      </c>
      <c r="BO9" s="19">
        <v>16.285986122977128</v>
      </c>
      <c r="BP9" s="19">
        <v>16.285986122977128</v>
      </c>
      <c r="BQ9" s="19">
        <v>16.285986122977128</v>
      </c>
      <c r="BR9" s="19">
        <v>16.285986122977128</v>
      </c>
      <c r="BS9" s="19">
        <v>16.285986122977128</v>
      </c>
      <c r="BT9" s="19">
        <v>16.285986122977128</v>
      </c>
      <c r="BU9" s="19">
        <v>16.285986122977128</v>
      </c>
      <c r="BV9" s="19">
        <v>16.285986122977128</v>
      </c>
      <c r="BW9" s="19">
        <v>16.285986122977128</v>
      </c>
      <c r="BX9" s="19">
        <v>16.285986122977128</v>
      </c>
      <c r="BY9" s="19">
        <v>16.285986122977128</v>
      </c>
      <c r="BZ9" s="19">
        <v>16.285986122977128</v>
      </c>
      <c r="CA9" s="19">
        <v>16.285986122977128</v>
      </c>
      <c r="CB9" s="19">
        <v>16.285986122977128</v>
      </c>
      <c r="CC9" s="19">
        <v>16.285986122977128</v>
      </c>
      <c r="CD9" s="19">
        <v>16.285986122977128</v>
      </c>
      <c r="CE9" s="19">
        <v>16.285986122977128</v>
      </c>
      <c r="CF9" s="19">
        <v>16.285986122977128</v>
      </c>
      <c r="CG9" s="19">
        <v>16.285986122977128</v>
      </c>
      <c r="CH9" s="19">
        <v>16.285986122977128</v>
      </c>
      <c r="CI9" s="19">
        <v>16.285986122977128</v>
      </c>
      <c r="CJ9" s="19">
        <v>16.285986122977128</v>
      </c>
      <c r="CK9" s="19">
        <v>16.285986122977128</v>
      </c>
      <c r="CL9" s="19">
        <v>16.285986122977128</v>
      </c>
      <c r="CM9" s="19">
        <v>16.285986122977128</v>
      </c>
      <c r="CN9" s="19">
        <v>16.285986122977128</v>
      </c>
      <c r="CO9" s="19">
        <v>16.285986122977128</v>
      </c>
      <c r="CP9" s="14"/>
    </row>
    <row r="10" spans="1:94" x14ac:dyDescent="0.2">
      <c r="A10" s="7"/>
      <c r="C10" s="21"/>
      <c r="D10" s="21"/>
      <c r="E10" s="21"/>
      <c r="F10" s="21"/>
      <c r="G10" s="21"/>
      <c r="H10" s="21"/>
      <c r="I10" s="21"/>
      <c r="J10" s="21"/>
      <c r="K10" s="21"/>
      <c r="L10" s="21"/>
      <c r="M10" s="21"/>
      <c r="N10" s="21"/>
      <c r="O10" s="21"/>
      <c r="P10" s="21"/>
      <c r="Q10" s="21"/>
      <c r="R10" s="21"/>
      <c r="S10" s="21"/>
      <c r="T10" s="21"/>
      <c r="U10" s="21"/>
      <c r="V10" s="21"/>
      <c r="W10" s="25"/>
      <c r="X10" s="21"/>
      <c r="Y10" s="21"/>
      <c r="Z10" s="21"/>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row>
    <row r="11" spans="1:94" x14ac:dyDescent="0.2">
      <c r="A11" s="4" t="s">
        <v>32</v>
      </c>
      <c r="B11" s="5" t="s">
        <v>26</v>
      </c>
      <c r="C11" s="19">
        <v>4.6860680953825877</v>
      </c>
      <c r="D11" s="19">
        <v>4.9653216636383126</v>
      </c>
      <c r="E11" s="19">
        <v>5.2683061235109703</v>
      </c>
      <c r="F11" s="19">
        <v>5.6011650053176378</v>
      </c>
      <c r="G11" s="19">
        <v>6.0085172037533017</v>
      </c>
      <c r="H11" s="19">
        <v>6.2912641519932455</v>
      </c>
      <c r="I11" s="19">
        <v>6.5398964377666102</v>
      </c>
      <c r="J11" s="19">
        <v>6.6354945879554394</v>
      </c>
      <c r="K11" s="19">
        <v>6.7342729185436934</v>
      </c>
      <c r="L11" s="19">
        <v>6.8158011796926337</v>
      </c>
      <c r="M11" s="19">
        <v>6.9869527066436019</v>
      </c>
      <c r="N11" s="19">
        <v>6.8344967856771435</v>
      </c>
      <c r="O11" s="19">
        <v>6.8694787700708382</v>
      </c>
      <c r="P11" s="19">
        <v>6.8957393506418621</v>
      </c>
      <c r="Q11" s="19">
        <v>6.9242646051336889</v>
      </c>
      <c r="R11" s="19">
        <v>6.9499951556381419</v>
      </c>
      <c r="S11" s="19">
        <v>6.9736055858763111</v>
      </c>
      <c r="T11" s="19">
        <v>6.9980351534900889</v>
      </c>
      <c r="U11" s="19">
        <v>7.0195254634619726</v>
      </c>
      <c r="V11" s="19">
        <v>7.0392811295796234</v>
      </c>
      <c r="W11" s="26">
        <v>7.0582176583216656</v>
      </c>
      <c r="X11" s="19">
        <v>7.0582176583216656</v>
      </c>
      <c r="Y11" s="19">
        <v>7.0582176583216656</v>
      </c>
      <c r="Z11" s="19">
        <v>7.0582176583216656</v>
      </c>
      <c r="AA11" s="19">
        <v>7.0582176583216656</v>
      </c>
      <c r="AB11" s="19">
        <v>7.0582176583216656</v>
      </c>
      <c r="AC11" s="19">
        <v>7.0582176583216656</v>
      </c>
      <c r="AD11" s="19">
        <v>7.0582176583216656</v>
      </c>
      <c r="AE11" s="19">
        <v>7.0582176583216656</v>
      </c>
      <c r="AF11" s="19">
        <v>7.0582176583216656</v>
      </c>
      <c r="AG11" s="19">
        <v>7.0582176583216656</v>
      </c>
      <c r="AH11" s="19">
        <v>7.0582176583216656</v>
      </c>
      <c r="AI11" s="19">
        <v>7.0582176583216656</v>
      </c>
      <c r="AJ11" s="19">
        <v>7.0582176583216656</v>
      </c>
      <c r="AK11" s="19">
        <v>7.0582176583216656</v>
      </c>
      <c r="AL11" s="19">
        <v>7.0582176583216656</v>
      </c>
      <c r="AM11" s="19">
        <v>7.0582176583216656</v>
      </c>
      <c r="AN11" s="19">
        <v>7.0582176583216656</v>
      </c>
      <c r="AO11" s="19">
        <v>7.0582176583216656</v>
      </c>
      <c r="AP11" s="19">
        <v>7.0582176583216656</v>
      </c>
      <c r="AQ11" s="19">
        <v>7.0582176583216656</v>
      </c>
      <c r="AR11" s="19">
        <v>7.0582176583216656</v>
      </c>
      <c r="AS11" s="19">
        <v>7.0582176583216656</v>
      </c>
      <c r="AT11" s="19">
        <v>7.0582176583216656</v>
      </c>
      <c r="AU11" s="19">
        <v>7.0582176583216656</v>
      </c>
      <c r="AV11" s="19">
        <v>7.0582176583216656</v>
      </c>
      <c r="AW11" s="19">
        <v>7.0582176583216656</v>
      </c>
      <c r="AX11" s="19">
        <v>7.0582176583216656</v>
      </c>
      <c r="AY11" s="19">
        <v>7.0582176583216656</v>
      </c>
      <c r="AZ11" s="19">
        <v>7.0582176583216656</v>
      </c>
      <c r="BA11" s="19">
        <v>7.0582176583216656</v>
      </c>
      <c r="BB11" s="19">
        <v>7.0582176583216656</v>
      </c>
      <c r="BC11" s="19">
        <v>7.0582176583216656</v>
      </c>
      <c r="BD11" s="19">
        <v>7.0582176583216656</v>
      </c>
      <c r="BE11" s="19">
        <v>7.0582176583216656</v>
      </c>
      <c r="BF11" s="19">
        <v>7.0582176583216656</v>
      </c>
      <c r="BG11" s="19">
        <v>7.0582176583216656</v>
      </c>
      <c r="BH11" s="19">
        <v>7.0582176583216656</v>
      </c>
      <c r="BI11" s="19">
        <v>7.0582176583216656</v>
      </c>
      <c r="BJ11" s="19">
        <v>7.0582176583216656</v>
      </c>
      <c r="BK11" s="19">
        <v>7.0582176583216656</v>
      </c>
      <c r="BL11" s="19">
        <v>7.0582176583216656</v>
      </c>
      <c r="BM11" s="19">
        <v>7.0582176583216656</v>
      </c>
      <c r="BN11" s="19">
        <v>7.0582176583216656</v>
      </c>
      <c r="BO11" s="19">
        <v>7.0582176583216656</v>
      </c>
      <c r="BP11" s="19">
        <v>7.0582176583216656</v>
      </c>
      <c r="BQ11" s="19">
        <v>7.0582176583216656</v>
      </c>
      <c r="BR11" s="19">
        <v>7.0582176583216656</v>
      </c>
      <c r="BS11" s="19">
        <v>7.0582176583216656</v>
      </c>
      <c r="BT11" s="19">
        <v>7.0582176583216656</v>
      </c>
      <c r="BU11" s="19">
        <v>7.0582176583216656</v>
      </c>
      <c r="BV11" s="19">
        <v>7.0582176583216656</v>
      </c>
      <c r="BW11" s="19">
        <v>7.0582176583216656</v>
      </c>
      <c r="BX11" s="19">
        <v>7.0582176583216656</v>
      </c>
      <c r="BY11" s="19">
        <v>7.0582176583216656</v>
      </c>
      <c r="BZ11" s="19">
        <v>7.0582176583216656</v>
      </c>
      <c r="CA11" s="19">
        <v>7.0582176583216656</v>
      </c>
      <c r="CB11" s="19">
        <v>7.0582176583216656</v>
      </c>
      <c r="CC11" s="19">
        <v>7.0582176583216656</v>
      </c>
      <c r="CD11" s="19">
        <v>7.0582176583216656</v>
      </c>
      <c r="CE11" s="19">
        <v>7.0582176583216656</v>
      </c>
      <c r="CF11" s="19">
        <v>7.0582176583216656</v>
      </c>
      <c r="CG11" s="19">
        <v>7.0582176583216656</v>
      </c>
      <c r="CH11" s="19">
        <v>7.0582176583216656</v>
      </c>
      <c r="CI11" s="19">
        <v>7.0582176583216656</v>
      </c>
      <c r="CJ11" s="19">
        <v>7.0582176583216656</v>
      </c>
      <c r="CK11" s="19">
        <v>7.0582176583216656</v>
      </c>
      <c r="CL11" s="19">
        <v>7.0582176583216656</v>
      </c>
      <c r="CM11" s="19">
        <v>7.0582176583216656</v>
      </c>
      <c r="CN11" s="19">
        <v>7.0582176583216656</v>
      </c>
      <c r="CO11" s="19">
        <v>7.0582176583216656</v>
      </c>
    </row>
    <row r="12" spans="1:94" x14ac:dyDescent="0.2">
      <c r="A12" s="4" t="s">
        <v>33</v>
      </c>
      <c r="B12" s="5" t="s">
        <v>26</v>
      </c>
      <c r="C12" s="19">
        <v>3.9074199566128991</v>
      </c>
      <c r="D12" s="19">
        <v>4.1412969948662424</v>
      </c>
      <c r="E12" s="19">
        <v>4.3883321255915595</v>
      </c>
      <c r="F12" s="19">
        <v>4.6428944669843037</v>
      </c>
      <c r="G12" s="19">
        <v>4.9109212715288182</v>
      </c>
      <c r="H12" s="19">
        <v>5.1903154847444206</v>
      </c>
      <c r="I12" s="19">
        <v>5.4785944476741406</v>
      </c>
      <c r="J12" s="19">
        <v>5.5531270389144218</v>
      </c>
      <c r="K12" s="19">
        <v>5.6554971039914337</v>
      </c>
      <c r="L12" s="19">
        <v>5.7867082709941666</v>
      </c>
      <c r="M12" s="19">
        <v>5.9522540831465705</v>
      </c>
      <c r="N12" s="19">
        <v>5.9646673779314501</v>
      </c>
      <c r="O12" s="19">
        <v>5.9778201881503241</v>
      </c>
      <c r="P12" s="19">
        <v>5.9812536526652904</v>
      </c>
      <c r="Q12" s="19">
        <v>5.9873810662612312</v>
      </c>
      <c r="R12" s="19">
        <v>5.9909201758381965</v>
      </c>
      <c r="S12" s="19">
        <v>5.9922407391131838</v>
      </c>
      <c r="T12" s="19">
        <v>5.9954629135041522</v>
      </c>
      <c r="U12" s="19">
        <v>5.9960439613451477</v>
      </c>
      <c r="V12" s="19">
        <v>5.9954629135041522</v>
      </c>
      <c r="W12" s="26">
        <v>5.9944064628841636</v>
      </c>
      <c r="X12" s="19">
        <v>5.9944064628841636</v>
      </c>
      <c r="Y12" s="19">
        <v>5.9944064628841636</v>
      </c>
      <c r="Z12" s="19">
        <v>5.9944064628841636</v>
      </c>
      <c r="AA12" s="19">
        <v>5.9944064628841636</v>
      </c>
      <c r="AB12" s="19">
        <v>5.9944064628841636</v>
      </c>
      <c r="AC12" s="19">
        <v>5.9944064628841636</v>
      </c>
      <c r="AD12" s="19">
        <v>5.9944064628841636</v>
      </c>
      <c r="AE12" s="19">
        <v>5.9944064628841636</v>
      </c>
      <c r="AF12" s="19">
        <v>5.9944064628841636</v>
      </c>
      <c r="AG12" s="19">
        <v>5.9944064628841636</v>
      </c>
      <c r="AH12" s="19">
        <v>5.9944064628841636</v>
      </c>
      <c r="AI12" s="19">
        <v>5.9944064628841636</v>
      </c>
      <c r="AJ12" s="19">
        <v>5.9944064628841636</v>
      </c>
      <c r="AK12" s="19">
        <v>5.9944064628841636</v>
      </c>
      <c r="AL12" s="19">
        <v>5.9944064628841636</v>
      </c>
      <c r="AM12" s="19">
        <v>5.9944064628841636</v>
      </c>
      <c r="AN12" s="19">
        <v>5.9944064628841636</v>
      </c>
      <c r="AO12" s="19">
        <v>5.9944064628841636</v>
      </c>
      <c r="AP12" s="19">
        <v>5.9944064628841636</v>
      </c>
      <c r="AQ12" s="19">
        <v>5.9944064628841636</v>
      </c>
      <c r="AR12" s="19">
        <v>5.9944064628841636</v>
      </c>
      <c r="AS12" s="19">
        <v>5.9944064628841636</v>
      </c>
      <c r="AT12" s="19">
        <v>5.9944064628841636</v>
      </c>
      <c r="AU12" s="19">
        <v>5.9944064628841636</v>
      </c>
      <c r="AV12" s="19">
        <v>5.9944064628841636</v>
      </c>
      <c r="AW12" s="19">
        <v>5.9944064628841636</v>
      </c>
      <c r="AX12" s="19">
        <v>5.9944064628841636</v>
      </c>
      <c r="AY12" s="19">
        <v>5.9944064628841636</v>
      </c>
      <c r="AZ12" s="19">
        <v>5.9944064628841636</v>
      </c>
      <c r="BA12" s="19">
        <v>5.9944064628841636</v>
      </c>
      <c r="BB12" s="19">
        <v>5.9944064628841636</v>
      </c>
      <c r="BC12" s="19">
        <v>5.9944064628841636</v>
      </c>
      <c r="BD12" s="19">
        <v>5.9944064628841636</v>
      </c>
      <c r="BE12" s="19">
        <v>5.9944064628841636</v>
      </c>
      <c r="BF12" s="19">
        <v>5.9944064628841636</v>
      </c>
      <c r="BG12" s="19">
        <v>5.9944064628841636</v>
      </c>
      <c r="BH12" s="19">
        <v>5.9944064628841636</v>
      </c>
      <c r="BI12" s="19">
        <v>5.9944064628841636</v>
      </c>
      <c r="BJ12" s="19">
        <v>5.9944064628841636</v>
      </c>
      <c r="BK12" s="19">
        <v>5.9944064628841636</v>
      </c>
      <c r="BL12" s="19">
        <v>5.9944064628841636</v>
      </c>
      <c r="BM12" s="19">
        <v>5.9944064628841636</v>
      </c>
      <c r="BN12" s="19">
        <v>5.9944064628841636</v>
      </c>
      <c r="BO12" s="19">
        <v>5.9944064628841636</v>
      </c>
      <c r="BP12" s="19">
        <v>5.9944064628841636</v>
      </c>
      <c r="BQ12" s="19">
        <v>5.9944064628841636</v>
      </c>
      <c r="BR12" s="19">
        <v>5.9944064628841636</v>
      </c>
      <c r="BS12" s="19">
        <v>5.9944064628841636</v>
      </c>
      <c r="BT12" s="19">
        <v>5.9944064628841636</v>
      </c>
      <c r="BU12" s="19">
        <v>5.9944064628841636</v>
      </c>
      <c r="BV12" s="19">
        <v>5.9944064628841636</v>
      </c>
      <c r="BW12" s="19">
        <v>5.9944064628841636</v>
      </c>
      <c r="BX12" s="19">
        <v>5.9944064628841636</v>
      </c>
      <c r="BY12" s="19">
        <v>5.9944064628841636</v>
      </c>
      <c r="BZ12" s="19">
        <v>5.9944064628841636</v>
      </c>
      <c r="CA12" s="19">
        <v>5.9944064628841636</v>
      </c>
      <c r="CB12" s="19">
        <v>5.9944064628841636</v>
      </c>
      <c r="CC12" s="19">
        <v>5.9944064628841636</v>
      </c>
      <c r="CD12" s="19">
        <v>5.9944064628841636</v>
      </c>
      <c r="CE12" s="19">
        <v>5.9944064628841636</v>
      </c>
      <c r="CF12" s="19">
        <v>5.9944064628841636</v>
      </c>
      <c r="CG12" s="19">
        <v>5.9944064628841636</v>
      </c>
      <c r="CH12" s="19">
        <v>5.9944064628841636</v>
      </c>
      <c r="CI12" s="19">
        <v>5.9944064628841636</v>
      </c>
      <c r="CJ12" s="19">
        <v>5.9944064628841636</v>
      </c>
      <c r="CK12" s="19">
        <v>5.9944064628841636</v>
      </c>
      <c r="CL12" s="19">
        <v>5.9944064628841636</v>
      </c>
      <c r="CM12" s="19">
        <v>5.9944064628841636</v>
      </c>
      <c r="CN12" s="19">
        <v>5.9944064628841636</v>
      </c>
      <c r="CO12" s="19">
        <v>5.9944064628841636</v>
      </c>
    </row>
    <row r="13" spans="1:94" x14ac:dyDescent="0.2">
      <c r="A13" s="4" t="s">
        <v>34</v>
      </c>
      <c r="B13" s="5" t="s">
        <v>26</v>
      </c>
      <c r="C13" s="19">
        <v>3.5643365547672095</v>
      </c>
      <c r="D13" s="19">
        <v>3.7776784750172383</v>
      </c>
      <c r="E13" s="19">
        <v>4.0030231670475285</v>
      </c>
      <c r="F13" s="19">
        <v>4.2352341576674899</v>
      </c>
      <c r="G13" s="19">
        <v>4.4797273904664499</v>
      </c>
      <c r="H13" s="19">
        <v>4.7345899387495995</v>
      </c>
      <c r="I13" s="19">
        <v>4.9975571285961387</v>
      </c>
      <c r="J13" s="19">
        <v>5.0655455307717627</v>
      </c>
      <c r="K13" s="19">
        <v>5.1589271915912933</v>
      </c>
      <c r="L13" s="19">
        <v>5.2786176175333539</v>
      </c>
      <c r="M13" s="19">
        <v>5.4296280019546197</v>
      </c>
      <c r="N13" s="19">
        <v>5.4409513715586391</v>
      </c>
      <c r="O13" s="19">
        <v>5.4529493248837495</v>
      </c>
      <c r="P13" s="19">
        <v>5.4560813207316698</v>
      </c>
      <c r="Q13" s="19">
        <v>5.4616707287064195</v>
      </c>
      <c r="R13" s="19">
        <v>5.464899093657352</v>
      </c>
      <c r="S13" s="19">
        <v>5.4661037074450141</v>
      </c>
      <c r="T13" s="19">
        <v>5.4690429650869081</v>
      </c>
      <c r="U13" s="19">
        <v>5.4695729951534799</v>
      </c>
      <c r="V13" s="19">
        <v>5.4690429650869081</v>
      </c>
      <c r="W13" s="26">
        <v>5.4680792740567794</v>
      </c>
      <c r="X13" s="19">
        <v>5.4680792740567794</v>
      </c>
      <c r="Y13" s="19">
        <v>5.4680792740567794</v>
      </c>
      <c r="Z13" s="19">
        <v>5.4680792740567794</v>
      </c>
      <c r="AA13" s="19">
        <v>5.4680792740567794</v>
      </c>
      <c r="AB13" s="19">
        <v>5.4680792740567794</v>
      </c>
      <c r="AC13" s="19">
        <v>5.4680792740567794</v>
      </c>
      <c r="AD13" s="19">
        <v>5.4680792740567794</v>
      </c>
      <c r="AE13" s="19">
        <v>5.4680792740567794</v>
      </c>
      <c r="AF13" s="19">
        <v>5.4680792740567794</v>
      </c>
      <c r="AG13" s="19">
        <v>5.4680792740567794</v>
      </c>
      <c r="AH13" s="19">
        <v>5.4680792740567794</v>
      </c>
      <c r="AI13" s="19">
        <v>5.4680792740567794</v>
      </c>
      <c r="AJ13" s="19">
        <v>5.4680792740567794</v>
      </c>
      <c r="AK13" s="19">
        <v>5.4680792740567794</v>
      </c>
      <c r="AL13" s="19">
        <v>5.4680792740567794</v>
      </c>
      <c r="AM13" s="19">
        <v>5.4680792740567794</v>
      </c>
      <c r="AN13" s="19">
        <v>5.4680792740567794</v>
      </c>
      <c r="AO13" s="19">
        <v>5.4680792740567794</v>
      </c>
      <c r="AP13" s="19">
        <v>5.4680792740567794</v>
      </c>
      <c r="AQ13" s="19">
        <v>5.4680792740567794</v>
      </c>
      <c r="AR13" s="19">
        <v>5.4680792740567794</v>
      </c>
      <c r="AS13" s="19">
        <v>5.4680792740567794</v>
      </c>
      <c r="AT13" s="19">
        <v>5.4680792740567794</v>
      </c>
      <c r="AU13" s="19">
        <v>5.4680792740567794</v>
      </c>
      <c r="AV13" s="19">
        <v>5.4680792740567794</v>
      </c>
      <c r="AW13" s="19">
        <v>5.4680792740567794</v>
      </c>
      <c r="AX13" s="19">
        <v>5.4680792740567794</v>
      </c>
      <c r="AY13" s="19">
        <v>5.4680792740567794</v>
      </c>
      <c r="AZ13" s="19">
        <v>5.4680792740567794</v>
      </c>
      <c r="BA13" s="19">
        <v>5.4680792740567794</v>
      </c>
      <c r="BB13" s="19">
        <v>5.4680792740567794</v>
      </c>
      <c r="BC13" s="19">
        <v>5.4680792740567794</v>
      </c>
      <c r="BD13" s="19">
        <v>5.4680792740567794</v>
      </c>
      <c r="BE13" s="19">
        <v>5.4680792740567794</v>
      </c>
      <c r="BF13" s="19">
        <v>5.4680792740567794</v>
      </c>
      <c r="BG13" s="19">
        <v>5.4680792740567794</v>
      </c>
      <c r="BH13" s="19">
        <v>5.4680792740567794</v>
      </c>
      <c r="BI13" s="19">
        <v>5.4680792740567794</v>
      </c>
      <c r="BJ13" s="19">
        <v>5.4680792740567794</v>
      </c>
      <c r="BK13" s="19">
        <v>5.4680792740567794</v>
      </c>
      <c r="BL13" s="19">
        <v>5.4680792740567794</v>
      </c>
      <c r="BM13" s="19">
        <v>5.4680792740567794</v>
      </c>
      <c r="BN13" s="19">
        <v>5.4680792740567794</v>
      </c>
      <c r="BO13" s="19">
        <v>5.4680792740567794</v>
      </c>
      <c r="BP13" s="19">
        <v>5.4680792740567794</v>
      </c>
      <c r="BQ13" s="19">
        <v>5.4680792740567794</v>
      </c>
      <c r="BR13" s="19">
        <v>5.4680792740567794</v>
      </c>
      <c r="BS13" s="19">
        <v>5.4680792740567794</v>
      </c>
      <c r="BT13" s="19">
        <v>5.4680792740567794</v>
      </c>
      <c r="BU13" s="19">
        <v>5.4680792740567794</v>
      </c>
      <c r="BV13" s="19">
        <v>5.4680792740567794</v>
      </c>
      <c r="BW13" s="19">
        <v>5.4680792740567794</v>
      </c>
      <c r="BX13" s="19">
        <v>5.4680792740567794</v>
      </c>
      <c r="BY13" s="19">
        <v>5.4680792740567794</v>
      </c>
      <c r="BZ13" s="19">
        <v>5.4680792740567794</v>
      </c>
      <c r="CA13" s="19">
        <v>5.4680792740567794</v>
      </c>
      <c r="CB13" s="19">
        <v>5.4680792740567794</v>
      </c>
      <c r="CC13" s="19">
        <v>5.4680792740567794</v>
      </c>
      <c r="CD13" s="19">
        <v>5.4680792740567794</v>
      </c>
      <c r="CE13" s="19">
        <v>5.4680792740567794</v>
      </c>
      <c r="CF13" s="19">
        <v>5.4680792740567794</v>
      </c>
      <c r="CG13" s="19">
        <v>5.4680792740567794</v>
      </c>
      <c r="CH13" s="19">
        <v>5.4680792740567794</v>
      </c>
      <c r="CI13" s="19">
        <v>5.4680792740567794</v>
      </c>
      <c r="CJ13" s="19">
        <v>5.4680792740567794</v>
      </c>
      <c r="CK13" s="19">
        <v>5.4680792740567794</v>
      </c>
      <c r="CL13" s="19">
        <v>5.4680792740567794</v>
      </c>
      <c r="CM13" s="19">
        <v>5.4680792740567794</v>
      </c>
      <c r="CN13" s="19">
        <v>5.4680792740567794</v>
      </c>
      <c r="CO13" s="19">
        <v>5.4680792740567794</v>
      </c>
    </row>
    <row r="14" spans="1:94" s="6" customFormat="1" x14ac:dyDescent="0.2">
      <c r="A14" s="4" t="s">
        <v>35</v>
      </c>
      <c r="B14" s="5" t="s">
        <v>26</v>
      </c>
      <c r="C14" s="19">
        <v>3.0601351794646794</v>
      </c>
      <c r="D14" s="19">
        <v>3.2698362043630147</v>
      </c>
      <c r="E14" s="19">
        <v>3.4795336433436033</v>
      </c>
      <c r="F14" s="19">
        <v>3.6892310823241914</v>
      </c>
      <c r="G14" s="19">
        <v>3.8989356931402739</v>
      </c>
      <c r="H14" s="19">
        <v>4.1086367180386087</v>
      </c>
      <c r="I14" s="19">
        <v>4.3183377429369445</v>
      </c>
      <c r="J14" s="19">
        <v>4.3247889499413228</v>
      </c>
      <c r="K14" s="19">
        <v>4.3312401569457002</v>
      </c>
      <c r="L14" s="19">
        <v>4.3376913639500776</v>
      </c>
      <c r="M14" s="19">
        <v>4.344142570954455</v>
      </c>
      <c r="N14" s="19">
        <v>4.3505937779588333</v>
      </c>
      <c r="O14" s="19">
        <v>4.3570449849632116</v>
      </c>
      <c r="P14" s="19">
        <v>4.363496191967589</v>
      </c>
      <c r="Q14" s="19">
        <v>4.3699473989719664</v>
      </c>
      <c r="R14" s="19">
        <v>4.3763986059763438</v>
      </c>
      <c r="S14" s="19">
        <v>4.3828498129807221</v>
      </c>
      <c r="T14" s="19">
        <v>4.3893010199850995</v>
      </c>
      <c r="U14" s="19">
        <v>4.3957522269894778</v>
      </c>
      <c r="V14" s="19">
        <v>4.4022034339938552</v>
      </c>
      <c r="W14" s="26">
        <v>4.4086546409982335</v>
      </c>
      <c r="X14" s="19">
        <v>4.4086546409982335</v>
      </c>
      <c r="Y14" s="19">
        <v>4.4086546409982335</v>
      </c>
      <c r="Z14" s="19">
        <v>4.4086546409982335</v>
      </c>
      <c r="AA14" s="19">
        <v>4.4086546409982335</v>
      </c>
      <c r="AB14" s="19">
        <v>4.4086546409982335</v>
      </c>
      <c r="AC14" s="19">
        <v>4.4086546409982335</v>
      </c>
      <c r="AD14" s="19">
        <v>4.4086546409982335</v>
      </c>
      <c r="AE14" s="19">
        <v>4.4086546409982335</v>
      </c>
      <c r="AF14" s="19">
        <v>4.4086546409982335</v>
      </c>
      <c r="AG14" s="19">
        <v>4.4086546409982335</v>
      </c>
      <c r="AH14" s="19">
        <v>4.4086546409982335</v>
      </c>
      <c r="AI14" s="19">
        <v>4.4086546409982335</v>
      </c>
      <c r="AJ14" s="19">
        <v>4.4086546409982335</v>
      </c>
      <c r="AK14" s="19">
        <v>4.4086546409982335</v>
      </c>
      <c r="AL14" s="19">
        <v>4.4086546409982335</v>
      </c>
      <c r="AM14" s="19">
        <v>4.4086546409982335</v>
      </c>
      <c r="AN14" s="19">
        <v>4.4086546409982335</v>
      </c>
      <c r="AO14" s="19">
        <v>4.4086546409982335</v>
      </c>
      <c r="AP14" s="19">
        <v>4.4086546409982335</v>
      </c>
      <c r="AQ14" s="19">
        <v>4.4086546409982335</v>
      </c>
      <c r="AR14" s="19">
        <v>4.4086546409982335</v>
      </c>
      <c r="AS14" s="19">
        <v>4.4086546409982335</v>
      </c>
      <c r="AT14" s="19">
        <v>4.4086546409982335</v>
      </c>
      <c r="AU14" s="19">
        <v>4.4086546409982335</v>
      </c>
      <c r="AV14" s="19">
        <v>4.4086546409982335</v>
      </c>
      <c r="AW14" s="19">
        <v>4.4086546409982335</v>
      </c>
      <c r="AX14" s="19">
        <v>4.4086546409982335</v>
      </c>
      <c r="AY14" s="19">
        <v>4.4086546409982335</v>
      </c>
      <c r="AZ14" s="19">
        <v>4.4086546409982335</v>
      </c>
      <c r="BA14" s="19">
        <v>4.4086546409982335</v>
      </c>
      <c r="BB14" s="19">
        <v>4.4086546409982335</v>
      </c>
      <c r="BC14" s="19">
        <v>4.4086546409982335</v>
      </c>
      <c r="BD14" s="19">
        <v>4.4086546409982335</v>
      </c>
      <c r="BE14" s="19">
        <v>4.4086546409982335</v>
      </c>
      <c r="BF14" s="19">
        <v>4.4086546409982335</v>
      </c>
      <c r="BG14" s="19">
        <v>4.4086546409982335</v>
      </c>
      <c r="BH14" s="19">
        <v>4.4086546409982335</v>
      </c>
      <c r="BI14" s="19">
        <v>4.4086546409982335</v>
      </c>
      <c r="BJ14" s="19">
        <v>4.4086546409982335</v>
      </c>
      <c r="BK14" s="19">
        <v>4.4086546409982335</v>
      </c>
      <c r="BL14" s="19">
        <v>4.4086546409982335</v>
      </c>
      <c r="BM14" s="19">
        <v>4.4086546409982335</v>
      </c>
      <c r="BN14" s="19">
        <v>4.4086546409982335</v>
      </c>
      <c r="BO14" s="19">
        <v>4.4086546409982335</v>
      </c>
      <c r="BP14" s="19">
        <v>4.4086546409982335</v>
      </c>
      <c r="BQ14" s="19">
        <v>4.4086546409982335</v>
      </c>
      <c r="BR14" s="19">
        <v>4.4086546409982335</v>
      </c>
      <c r="BS14" s="19">
        <v>4.4086546409982335</v>
      </c>
      <c r="BT14" s="19">
        <v>4.4086546409982335</v>
      </c>
      <c r="BU14" s="19">
        <v>4.4086546409982335</v>
      </c>
      <c r="BV14" s="19">
        <v>4.4086546409982335</v>
      </c>
      <c r="BW14" s="19">
        <v>4.4086546409982335</v>
      </c>
      <c r="BX14" s="19">
        <v>4.4086546409982335</v>
      </c>
      <c r="BY14" s="19">
        <v>4.4086546409982335</v>
      </c>
      <c r="BZ14" s="19">
        <v>4.4086546409982335</v>
      </c>
      <c r="CA14" s="19">
        <v>4.4086546409982335</v>
      </c>
      <c r="CB14" s="19">
        <v>4.4086546409982335</v>
      </c>
      <c r="CC14" s="19">
        <v>4.4086546409982335</v>
      </c>
      <c r="CD14" s="19">
        <v>4.4086546409982335</v>
      </c>
      <c r="CE14" s="19">
        <v>4.4086546409982335</v>
      </c>
      <c r="CF14" s="19">
        <v>4.4086546409982335</v>
      </c>
      <c r="CG14" s="19">
        <v>4.4086546409982335</v>
      </c>
      <c r="CH14" s="19">
        <v>4.4086546409982335</v>
      </c>
      <c r="CI14" s="19">
        <v>4.4086546409982335</v>
      </c>
      <c r="CJ14" s="19">
        <v>4.4086546409982335</v>
      </c>
      <c r="CK14" s="19">
        <v>4.4086546409982335</v>
      </c>
      <c r="CL14" s="19">
        <v>4.4086546409982335</v>
      </c>
      <c r="CM14" s="19">
        <v>4.4086546409982335</v>
      </c>
      <c r="CN14" s="19">
        <v>4.4086546409982335</v>
      </c>
      <c r="CO14" s="19">
        <v>4.4086546409982335</v>
      </c>
    </row>
    <row r="15" spans="1:94" s="6" customFormat="1" x14ac:dyDescent="0.2">
      <c r="A15" s="4" t="s">
        <v>36</v>
      </c>
      <c r="B15" s="5" t="s">
        <v>26</v>
      </c>
      <c r="C15" s="19">
        <v>2.9616714967677416</v>
      </c>
      <c r="D15" s="19">
        <v>3.1659049369241785</v>
      </c>
      <c r="E15" s="19">
        <v>3.3701731645298834</v>
      </c>
      <c r="F15" s="19">
        <v>3.5744820971301285</v>
      </c>
      <c r="G15" s="19">
        <v>3.7788412433483933</v>
      </c>
      <c r="H15" s="19">
        <v>3.9832422063310751</v>
      </c>
      <c r="I15" s="19">
        <v>4.1876909726220806</v>
      </c>
      <c r="J15" s="19">
        <v>4.1889401778640556</v>
      </c>
      <c r="K15" s="19">
        <v>4.1902421578023841</v>
      </c>
      <c r="L15" s="19">
        <v>4.1915995047037766</v>
      </c>
      <c r="M15" s="19">
        <v>4.1930148943989876</v>
      </c>
      <c r="N15" s="19">
        <v>4.1944910947444356</v>
      </c>
      <c r="O15" s="19">
        <v>4.1960309735980443</v>
      </c>
      <c r="P15" s="19">
        <v>4.1976375064647735</v>
      </c>
      <c r="Q15" s="19">
        <v>4.199313783933543</v>
      </c>
      <c r="R15" s="19">
        <v>4.2010630190022775</v>
      </c>
      <c r="S15" s="19">
        <v>4.2028885543690739</v>
      </c>
      <c r="T15" s="19">
        <v>4.2047938697535177</v>
      </c>
      <c r="U15" s="19">
        <v>4.2067825893015236</v>
      </c>
      <c r="V15" s="19">
        <v>4.2088584891190521</v>
      </c>
      <c r="W15" s="26">
        <v>4.2110255049739571</v>
      </c>
      <c r="X15" s="26">
        <v>4.2110255049739571</v>
      </c>
      <c r="Y15" s="26">
        <v>4.2110255049739571</v>
      </c>
      <c r="Z15" s="26">
        <v>4.2110255049739571</v>
      </c>
      <c r="AA15" s="26">
        <v>4.2110255049739571</v>
      </c>
      <c r="AB15" s="26">
        <v>4.2110255049739571</v>
      </c>
      <c r="AC15" s="26">
        <v>4.2110255049739571</v>
      </c>
      <c r="AD15" s="26">
        <v>4.2110255049739571</v>
      </c>
      <c r="AE15" s="26">
        <v>4.2110255049739571</v>
      </c>
      <c r="AF15" s="26">
        <v>4.2110255049739571</v>
      </c>
      <c r="AG15" s="26">
        <v>4.2110255049739571</v>
      </c>
      <c r="AH15" s="26">
        <v>4.2110255049739571</v>
      </c>
      <c r="AI15" s="26">
        <v>4.2110255049739571</v>
      </c>
      <c r="AJ15" s="26">
        <v>4.2110255049739571</v>
      </c>
      <c r="AK15" s="26">
        <v>4.2110255049739571</v>
      </c>
      <c r="AL15" s="26">
        <v>4.2110255049739571</v>
      </c>
      <c r="AM15" s="26">
        <v>4.2110255049739571</v>
      </c>
      <c r="AN15" s="26">
        <v>4.2110255049739571</v>
      </c>
      <c r="AO15" s="26">
        <v>4.2110255049739571</v>
      </c>
      <c r="AP15" s="26">
        <v>4.2110255049739571</v>
      </c>
      <c r="AQ15" s="26">
        <v>4.2110255049739571</v>
      </c>
      <c r="AR15" s="26">
        <v>4.2110255049739571</v>
      </c>
      <c r="AS15" s="26">
        <v>4.2110255049739571</v>
      </c>
      <c r="AT15" s="26">
        <v>4.2110255049739571</v>
      </c>
      <c r="AU15" s="26">
        <v>4.2110255049739571</v>
      </c>
      <c r="AV15" s="26">
        <v>4.2110255049739571</v>
      </c>
      <c r="AW15" s="26">
        <v>4.2110255049739571</v>
      </c>
      <c r="AX15" s="26">
        <v>4.2110255049739571</v>
      </c>
      <c r="AY15" s="26">
        <v>4.2110255049739571</v>
      </c>
      <c r="AZ15" s="26">
        <v>4.2110255049739571</v>
      </c>
      <c r="BA15" s="26">
        <v>4.2110255049739571</v>
      </c>
      <c r="BB15" s="26">
        <v>4.2110255049739571</v>
      </c>
      <c r="BC15" s="26">
        <v>4.2110255049739571</v>
      </c>
      <c r="BD15" s="26">
        <v>4.2110255049739571</v>
      </c>
      <c r="BE15" s="26">
        <v>4.2110255049739571</v>
      </c>
      <c r="BF15" s="26">
        <v>4.2110255049739571</v>
      </c>
      <c r="BG15" s="26">
        <v>4.2110255049739571</v>
      </c>
      <c r="BH15" s="26">
        <v>4.2110255049739571</v>
      </c>
      <c r="BI15" s="26">
        <v>4.2110255049739571</v>
      </c>
      <c r="BJ15" s="26">
        <v>4.2110255049739571</v>
      </c>
      <c r="BK15" s="26">
        <v>4.2110255049739571</v>
      </c>
      <c r="BL15" s="26">
        <v>4.2110255049739571</v>
      </c>
      <c r="BM15" s="26">
        <v>4.2110255049739571</v>
      </c>
      <c r="BN15" s="26">
        <v>4.2110255049739571</v>
      </c>
      <c r="BO15" s="26">
        <v>4.2110255049739571</v>
      </c>
      <c r="BP15" s="26">
        <v>4.2110255049739571</v>
      </c>
      <c r="BQ15" s="26">
        <v>4.2110255049739571</v>
      </c>
      <c r="BR15" s="26">
        <v>4.2110255049739571</v>
      </c>
      <c r="BS15" s="26">
        <v>4.2110255049739571</v>
      </c>
      <c r="BT15" s="26">
        <v>4.2110255049739571</v>
      </c>
      <c r="BU15" s="26">
        <v>4.2110255049739571</v>
      </c>
      <c r="BV15" s="26">
        <v>4.2110255049739571</v>
      </c>
      <c r="BW15" s="26">
        <v>4.2110255049739571</v>
      </c>
      <c r="BX15" s="26">
        <v>4.2110255049739571</v>
      </c>
      <c r="BY15" s="26">
        <v>4.2110255049739571</v>
      </c>
      <c r="BZ15" s="26">
        <v>4.2110255049739571</v>
      </c>
      <c r="CA15" s="26">
        <v>4.2110255049739571</v>
      </c>
      <c r="CB15" s="26">
        <v>4.2110255049739571</v>
      </c>
      <c r="CC15" s="26">
        <v>4.2110255049739571</v>
      </c>
      <c r="CD15" s="26">
        <v>4.2110255049739571</v>
      </c>
      <c r="CE15" s="26">
        <v>4.2110255049739571</v>
      </c>
      <c r="CF15" s="26">
        <v>4.2110255049739571</v>
      </c>
      <c r="CG15" s="26">
        <v>4.2110255049739571</v>
      </c>
      <c r="CH15" s="26">
        <v>4.2110255049739571</v>
      </c>
      <c r="CI15" s="26">
        <v>4.2110255049739571</v>
      </c>
      <c r="CJ15" s="26">
        <v>4.2110255049739571</v>
      </c>
      <c r="CK15" s="26">
        <v>4.2110255049739571</v>
      </c>
      <c r="CL15" s="26">
        <v>4.2110255049739571</v>
      </c>
      <c r="CM15" s="26">
        <v>4.2110255049739571</v>
      </c>
      <c r="CN15" s="26">
        <v>4.2110255049739571</v>
      </c>
      <c r="CO15" s="26">
        <v>4.2110255049739571</v>
      </c>
    </row>
    <row r="16" spans="1:94" s="6" customFormat="1" x14ac:dyDescent="0.2">
      <c r="A16" s="4" t="s">
        <v>37</v>
      </c>
      <c r="B16" s="5" t="s">
        <v>26</v>
      </c>
      <c r="C16" s="19">
        <v>2.9616714967677416</v>
      </c>
      <c r="D16" s="19">
        <v>3.1659049369241785</v>
      </c>
      <c r="E16" s="19">
        <v>3.3701731645298834</v>
      </c>
      <c r="F16" s="19">
        <v>3.5744820971301285</v>
      </c>
      <c r="G16" s="19">
        <v>3.7788412433483933</v>
      </c>
      <c r="H16" s="19">
        <v>3.9832422063310751</v>
      </c>
      <c r="I16" s="19">
        <v>4.1876909726220806</v>
      </c>
      <c r="J16" s="19">
        <v>4.1889401778640556</v>
      </c>
      <c r="K16" s="19">
        <v>4.1902421578023841</v>
      </c>
      <c r="L16" s="19">
        <v>4.1915995047037766</v>
      </c>
      <c r="M16" s="19">
        <v>4.1930148943989876</v>
      </c>
      <c r="N16" s="19">
        <v>4.1944910947444356</v>
      </c>
      <c r="O16" s="19">
        <v>4.1960309735980443</v>
      </c>
      <c r="P16" s="19">
        <v>4.1976375064647735</v>
      </c>
      <c r="Q16" s="19">
        <v>4.199313783933543</v>
      </c>
      <c r="R16" s="19">
        <v>4.2010630190022775</v>
      </c>
      <c r="S16" s="19">
        <v>4.2028885543690739</v>
      </c>
      <c r="T16" s="19">
        <v>4.2047938697535177</v>
      </c>
      <c r="U16" s="19">
        <v>4.2067825893015236</v>
      </c>
      <c r="V16" s="19">
        <v>4.2088584891190521</v>
      </c>
      <c r="W16" s="26">
        <v>4.2110255049739571</v>
      </c>
      <c r="X16" s="26">
        <v>4.2110255049739571</v>
      </c>
      <c r="Y16" s="26">
        <v>4.2110255049739571</v>
      </c>
      <c r="Z16" s="26">
        <v>4.2110255049739571</v>
      </c>
      <c r="AA16" s="26">
        <v>4.2110255049739571</v>
      </c>
      <c r="AB16" s="26">
        <v>4.2110255049739571</v>
      </c>
      <c r="AC16" s="26">
        <v>4.2110255049739571</v>
      </c>
      <c r="AD16" s="26">
        <v>4.2110255049739571</v>
      </c>
      <c r="AE16" s="26">
        <v>4.2110255049739571</v>
      </c>
      <c r="AF16" s="26">
        <v>4.2110255049739571</v>
      </c>
      <c r="AG16" s="26">
        <v>4.2110255049739571</v>
      </c>
      <c r="AH16" s="26">
        <v>4.2110255049739571</v>
      </c>
      <c r="AI16" s="26">
        <v>4.2110255049739571</v>
      </c>
      <c r="AJ16" s="26">
        <v>4.2110255049739571</v>
      </c>
      <c r="AK16" s="26">
        <v>4.2110255049739571</v>
      </c>
      <c r="AL16" s="26">
        <v>4.2110255049739571</v>
      </c>
      <c r="AM16" s="26">
        <v>4.2110255049739571</v>
      </c>
      <c r="AN16" s="26">
        <v>4.2110255049739571</v>
      </c>
      <c r="AO16" s="26">
        <v>4.2110255049739571</v>
      </c>
      <c r="AP16" s="26">
        <v>4.2110255049739571</v>
      </c>
      <c r="AQ16" s="26">
        <v>4.2110255049739571</v>
      </c>
      <c r="AR16" s="26">
        <v>4.2110255049739571</v>
      </c>
      <c r="AS16" s="26">
        <v>4.2110255049739571</v>
      </c>
      <c r="AT16" s="26">
        <v>4.2110255049739571</v>
      </c>
      <c r="AU16" s="26">
        <v>4.2110255049739571</v>
      </c>
      <c r="AV16" s="26">
        <v>4.2110255049739571</v>
      </c>
      <c r="AW16" s="26">
        <v>4.2110255049739571</v>
      </c>
      <c r="AX16" s="26">
        <v>4.2110255049739571</v>
      </c>
      <c r="AY16" s="26">
        <v>4.2110255049739571</v>
      </c>
      <c r="AZ16" s="26">
        <v>4.2110255049739571</v>
      </c>
      <c r="BA16" s="26">
        <v>4.2110255049739571</v>
      </c>
      <c r="BB16" s="26">
        <v>4.2110255049739571</v>
      </c>
      <c r="BC16" s="26">
        <v>4.2110255049739571</v>
      </c>
      <c r="BD16" s="26">
        <v>4.2110255049739571</v>
      </c>
      <c r="BE16" s="26">
        <v>4.2110255049739571</v>
      </c>
      <c r="BF16" s="26">
        <v>4.2110255049739571</v>
      </c>
      <c r="BG16" s="26">
        <v>4.2110255049739571</v>
      </c>
      <c r="BH16" s="26">
        <v>4.2110255049739571</v>
      </c>
      <c r="BI16" s="26">
        <v>4.2110255049739571</v>
      </c>
      <c r="BJ16" s="26">
        <v>4.2110255049739571</v>
      </c>
      <c r="BK16" s="26">
        <v>4.2110255049739571</v>
      </c>
      <c r="BL16" s="26">
        <v>4.2110255049739571</v>
      </c>
      <c r="BM16" s="26">
        <v>4.2110255049739571</v>
      </c>
      <c r="BN16" s="26">
        <v>4.2110255049739571</v>
      </c>
      <c r="BO16" s="26">
        <v>4.2110255049739571</v>
      </c>
      <c r="BP16" s="26">
        <v>4.2110255049739571</v>
      </c>
      <c r="BQ16" s="26">
        <v>4.2110255049739571</v>
      </c>
      <c r="BR16" s="26">
        <v>4.2110255049739571</v>
      </c>
      <c r="BS16" s="26">
        <v>4.2110255049739571</v>
      </c>
      <c r="BT16" s="26">
        <v>4.2110255049739571</v>
      </c>
      <c r="BU16" s="26">
        <v>4.2110255049739571</v>
      </c>
      <c r="BV16" s="26">
        <v>4.2110255049739571</v>
      </c>
      <c r="BW16" s="26">
        <v>4.2110255049739571</v>
      </c>
      <c r="BX16" s="26">
        <v>4.2110255049739571</v>
      </c>
      <c r="BY16" s="26">
        <v>4.2110255049739571</v>
      </c>
      <c r="BZ16" s="26">
        <v>4.2110255049739571</v>
      </c>
      <c r="CA16" s="26">
        <v>4.2110255049739571</v>
      </c>
      <c r="CB16" s="26">
        <v>4.2110255049739571</v>
      </c>
      <c r="CC16" s="26">
        <v>4.2110255049739571</v>
      </c>
      <c r="CD16" s="26">
        <v>4.2110255049739571</v>
      </c>
      <c r="CE16" s="26">
        <v>4.2110255049739571</v>
      </c>
      <c r="CF16" s="26">
        <v>4.2110255049739571</v>
      </c>
      <c r="CG16" s="26">
        <v>4.2110255049739571</v>
      </c>
      <c r="CH16" s="26">
        <v>4.2110255049739571</v>
      </c>
      <c r="CI16" s="26">
        <v>4.2110255049739571</v>
      </c>
      <c r="CJ16" s="26">
        <v>4.2110255049739571</v>
      </c>
      <c r="CK16" s="26">
        <v>4.2110255049739571</v>
      </c>
      <c r="CL16" s="26">
        <v>4.2110255049739571</v>
      </c>
      <c r="CM16" s="26">
        <v>4.2110255049739571</v>
      </c>
      <c r="CN16" s="26">
        <v>4.2110255049739571</v>
      </c>
      <c r="CO16" s="26">
        <v>4.2110255049739571</v>
      </c>
    </row>
    <row r="17" spans="1:93" x14ac:dyDescent="0.2">
      <c r="A17" s="7"/>
      <c r="C17" s="19"/>
      <c r="D17" s="19"/>
      <c r="E17" s="19"/>
      <c r="F17" s="19"/>
      <c r="G17" s="19"/>
      <c r="H17" s="19"/>
      <c r="I17" s="19"/>
      <c r="J17" s="19"/>
      <c r="K17" s="19"/>
      <c r="L17" s="19"/>
      <c r="M17" s="19"/>
      <c r="N17" s="19"/>
      <c r="O17" s="19"/>
      <c r="P17" s="19"/>
      <c r="Q17" s="19"/>
      <c r="R17" s="19"/>
      <c r="S17" s="19"/>
      <c r="T17" s="19"/>
      <c r="U17" s="19"/>
      <c r="V17" s="19"/>
      <c r="W17" s="26"/>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row>
    <row r="18" spans="1:93" x14ac:dyDescent="0.2">
      <c r="A18" s="4" t="s">
        <v>38</v>
      </c>
      <c r="B18" s="5" t="s">
        <v>26</v>
      </c>
      <c r="C18" s="19">
        <v>3.3132016241853481</v>
      </c>
      <c r="D18" s="19">
        <v>3.3132016241853481</v>
      </c>
      <c r="E18" s="19">
        <v>3.3132016241853481</v>
      </c>
      <c r="F18" s="19">
        <v>3.3132016241853481</v>
      </c>
      <c r="G18" s="19">
        <v>3.3132016241853481</v>
      </c>
      <c r="H18" s="19">
        <v>3.3132016241853481</v>
      </c>
      <c r="I18" s="19">
        <v>3.3132016241853481</v>
      </c>
      <c r="J18" s="19">
        <v>3.3132016241853481</v>
      </c>
      <c r="K18" s="19">
        <v>3.3132016241853481</v>
      </c>
      <c r="L18" s="19">
        <v>3.3132016241853481</v>
      </c>
      <c r="M18" s="19">
        <v>3.3132016241853481</v>
      </c>
      <c r="N18" s="19">
        <v>3.3132016241853481</v>
      </c>
      <c r="O18" s="19">
        <v>3.3132016241853481</v>
      </c>
      <c r="P18" s="19">
        <v>3.3132016241853481</v>
      </c>
      <c r="Q18" s="19">
        <v>3.3132016241853481</v>
      </c>
      <c r="R18" s="19">
        <v>3.3132016241853481</v>
      </c>
      <c r="S18" s="19">
        <v>3.3132016241853481</v>
      </c>
      <c r="T18" s="19">
        <v>3.3132016241853481</v>
      </c>
      <c r="U18" s="19">
        <v>3.3132016241853481</v>
      </c>
      <c r="V18" s="19">
        <v>3.3132016241853481</v>
      </c>
      <c r="W18" s="26">
        <v>3.3132016241853481</v>
      </c>
      <c r="X18" s="19">
        <v>3.3132016241853481</v>
      </c>
      <c r="Y18" s="19">
        <v>3.3132016241853481</v>
      </c>
      <c r="Z18" s="19">
        <v>3.3132016241853481</v>
      </c>
      <c r="AA18" s="19">
        <v>3.3132016241853481</v>
      </c>
      <c r="AB18" s="19">
        <v>3.3132016241853481</v>
      </c>
      <c r="AC18" s="19">
        <v>3.3132016241853481</v>
      </c>
      <c r="AD18" s="19">
        <v>3.3132016241853481</v>
      </c>
      <c r="AE18" s="19">
        <v>3.3132016241853481</v>
      </c>
      <c r="AF18" s="19">
        <v>3.3132016241853481</v>
      </c>
      <c r="AG18" s="19">
        <v>3.3132016241853481</v>
      </c>
      <c r="AH18" s="19">
        <v>3.3132016241853481</v>
      </c>
      <c r="AI18" s="19">
        <v>3.3132016241853481</v>
      </c>
      <c r="AJ18" s="19">
        <v>3.3132016241853481</v>
      </c>
      <c r="AK18" s="19">
        <v>3.3132016241853481</v>
      </c>
      <c r="AL18" s="19">
        <v>3.3132016241853481</v>
      </c>
      <c r="AM18" s="19">
        <v>3.3132016241853481</v>
      </c>
      <c r="AN18" s="19">
        <v>3.3132016241853481</v>
      </c>
      <c r="AO18" s="19">
        <v>3.3132016241853481</v>
      </c>
      <c r="AP18" s="19">
        <v>3.3132016241853481</v>
      </c>
      <c r="AQ18" s="19">
        <v>3.3132016241853481</v>
      </c>
      <c r="AR18" s="19">
        <v>3.3132016241853481</v>
      </c>
      <c r="AS18" s="19">
        <v>3.3132016241853481</v>
      </c>
      <c r="AT18" s="19">
        <v>3.3132016241853481</v>
      </c>
      <c r="AU18" s="19">
        <v>3.3132016241853481</v>
      </c>
      <c r="AV18" s="19">
        <v>3.3132016241853481</v>
      </c>
      <c r="AW18" s="19">
        <v>3.3132016241853481</v>
      </c>
      <c r="AX18" s="19">
        <v>3.3132016241853481</v>
      </c>
      <c r="AY18" s="19">
        <v>3.3132016241853481</v>
      </c>
      <c r="AZ18" s="19">
        <v>3.3132016241853481</v>
      </c>
      <c r="BA18" s="19">
        <v>3.3132016241853481</v>
      </c>
      <c r="BB18" s="21">
        <v>3.3132016241853481</v>
      </c>
      <c r="BC18" s="21">
        <v>3.3132016241853481</v>
      </c>
      <c r="BD18" s="21">
        <v>3.3132016241853481</v>
      </c>
      <c r="BE18" s="21">
        <v>3.3132016241853481</v>
      </c>
      <c r="BF18" s="21">
        <v>3.3132016241853481</v>
      </c>
      <c r="BG18" s="21">
        <v>3.3132016241853481</v>
      </c>
      <c r="BH18" s="21">
        <v>3.3132016241853481</v>
      </c>
      <c r="BI18" s="21">
        <v>3.3132016241853481</v>
      </c>
      <c r="BJ18" s="21">
        <v>3.3132016241853481</v>
      </c>
      <c r="BK18" s="21">
        <v>3.3132016241853481</v>
      </c>
      <c r="BL18" s="21">
        <v>3.3132016241853481</v>
      </c>
      <c r="BM18" s="21">
        <v>3.3132016241853481</v>
      </c>
      <c r="BN18" s="21">
        <v>3.3132016241853481</v>
      </c>
      <c r="BO18" s="21">
        <v>3.3132016241853481</v>
      </c>
      <c r="BP18" s="21">
        <v>3.3132016241853481</v>
      </c>
      <c r="BQ18" s="21">
        <v>3.3132016241853481</v>
      </c>
      <c r="BR18" s="21">
        <v>3.3132016241853481</v>
      </c>
      <c r="BS18" s="21">
        <v>3.3132016241853481</v>
      </c>
      <c r="BT18" s="21">
        <v>3.3132016241853481</v>
      </c>
      <c r="BU18" s="21">
        <v>3.3132016241853481</v>
      </c>
      <c r="BV18" s="21">
        <v>3.3132016241853481</v>
      </c>
      <c r="BW18" s="21">
        <v>3.3132016241853481</v>
      </c>
      <c r="BX18" s="21">
        <v>3.3132016241853481</v>
      </c>
      <c r="BY18" s="21">
        <v>3.3132016241853481</v>
      </c>
      <c r="BZ18" s="21">
        <v>3.3132016241853481</v>
      </c>
      <c r="CA18" s="21">
        <v>3.3132016241853481</v>
      </c>
      <c r="CB18" s="21">
        <v>3.3132016241853481</v>
      </c>
      <c r="CC18" s="21">
        <v>3.3132016241853481</v>
      </c>
      <c r="CD18" s="21">
        <v>3.3132016241853481</v>
      </c>
      <c r="CE18" s="21">
        <v>3.3132016241853481</v>
      </c>
      <c r="CF18" s="21">
        <v>3.3132016241853481</v>
      </c>
      <c r="CG18" s="21">
        <v>3.3132016241853481</v>
      </c>
      <c r="CH18" s="21">
        <v>3.3132016241853481</v>
      </c>
      <c r="CI18" s="21">
        <v>3.3132016241853481</v>
      </c>
      <c r="CJ18" s="21">
        <v>3.3132016241853481</v>
      </c>
      <c r="CK18" s="21">
        <v>3.3132016241853481</v>
      </c>
      <c r="CL18" s="21">
        <v>3.3132016241853481</v>
      </c>
      <c r="CM18" s="21">
        <v>3.3132016241853481</v>
      </c>
      <c r="CN18" s="21">
        <v>3.3132016241853481</v>
      </c>
      <c r="CO18" s="21">
        <v>3.3132016241853481</v>
      </c>
    </row>
    <row r="19" spans="1:93" x14ac:dyDescent="0.2">
      <c r="A19" s="4" t="s">
        <v>52</v>
      </c>
      <c r="B19" s="5" t="s">
        <v>26</v>
      </c>
      <c r="C19" s="19">
        <v>1.6378339645818405</v>
      </c>
      <c r="D19" s="19">
        <v>1.6378339645818405</v>
      </c>
      <c r="E19" s="19">
        <v>1.6378339645818405</v>
      </c>
      <c r="F19" s="19">
        <v>1.6378339645818405</v>
      </c>
      <c r="G19" s="19">
        <v>1.6378339645818405</v>
      </c>
      <c r="H19" s="19">
        <v>1.6378339645818405</v>
      </c>
      <c r="I19" s="19">
        <v>1.6378339645818405</v>
      </c>
      <c r="J19" s="19">
        <v>1.6378339645818405</v>
      </c>
      <c r="K19" s="19">
        <v>1.6378339645818405</v>
      </c>
      <c r="L19" s="19">
        <v>1.6378339645818405</v>
      </c>
      <c r="M19" s="19">
        <v>1.6378339645818405</v>
      </c>
      <c r="N19" s="19">
        <v>1.6378339645818405</v>
      </c>
      <c r="O19" s="19">
        <v>1.6378339645818405</v>
      </c>
      <c r="P19" s="19">
        <v>1.6378339645818405</v>
      </c>
      <c r="Q19" s="19">
        <v>1.6378339645818405</v>
      </c>
      <c r="R19" s="19">
        <v>1.6378339645818405</v>
      </c>
      <c r="S19" s="19">
        <v>1.6378339645818405</v>
      </c>
      <c r="T19" s="19">
        <v>1.6378339645818405</v>
      </c>
      <c r="U19" s="19">
        <v>1.6378339645818405</v>
      </c>
      <c r="V19" s="19">
        <v>1.6378339645818405</v>
      </c>
      <c r="W19" s="26">
        <v>1.6378339645818405</v>
      </c>
      <c r="X19" s="19">
        <v>1.6378339645818405</v>
      </c>
      <c r="Y19" s="19">
        <v>1.6378339645818405</v>
      </c>
      <c r="Z19" s="19">
        <v>1.6378339645818405</v>
      </c>
      <c r="AA19" s="19">
        <v>1.6378339645818405</v>
      </c>
      <c r="AB19" s="19">
        <v>1.6378339645818405</v>
      </c>
      <c r="AC19" s="19">
        <v>1.6378339645818405</v>
      </c>
      <c r="AD19" s="19">
        <v>1.6378339645818405</v>
      </c>
      <c r="AE19" s="19">
        <v>1.6378339645818405</v>
      </c>
      <c r="AF19" s="19">
        <v>1.6378339645818405</v>
      </c>
      <c r="AG19" s="19">
        <v>1.6378339645818405</v>
      </c>
      <c r="AH19" s="19">
        <v>1.6378339645818405</v>
      </c>
      <c r="AI19" s="19">
        <v>1.6378339645818405</v>
      </c>
      <c r="AJ19" s="19">
        <v>1.6378339645818405</v>
      </c>
      <c r="AK19" s="19">
        <v>1.6378339645818405</v>
      </c>
      <c r="AL19" s="19">
        <v>1.6378339645818405</v>
      </c>
      <c r="AM19" s="19">
        <v>1.6378339645818405</v>
      </c>
      <c r="AN19" s="19">
        <v>1.6378339645818405</v>
      </c>
      <c r="AO19" s="19">
        <v>1.6378339645818405</v>
      </c>
      <c r="AP19" s="19">
        <v>1.6378339645818405</v>
      </c>
      <c r="AQ19" s="19">
        <v>1.6378339645818405</v>
      </c>
      <c r="AR19" s="19">
        <v>1.6378339645818405</v>
      </c>
      <c r="AS19" s="19">
        <v>1.6378339645818405</v>
      </c>
      <c r="AT19" s="19">
        <v>1.6378339645818405</v>
      </c>
      <c r="AU19" s="19">
        <v>1.6378339645818405</v>
      </c>
      <c r="AV19" s="19">
        <v>1.6378339645818405</v>
      </c>
      <c r="AW19" s="19">
        <v>1.6378339645818405</v>
      </c>
      <c r="AX19" s="19">
        <v>1.6378339645818405</v>
      </c>
      <c r="AY19" s="19">
        <v>1.6378339645818405</v>
      </c>
      <c r="AZ19" s="19">
        <v>1.6378339645818405</v>
      </c>
      <c r="BA19" s="19">
        <v>1.6378339645818405</v>
      </c>
      <c r="BB19" s="21">
        <v>1.6378339645818405</v>
      </c>
      <c r="BC19" s="21">
        <v>1.6378339645818405</v>
      </c>
      <c r="BD19" s="21">
        <v>1.6378339645818405</v>
      </c>
      <c r="BE19" s="21">
        <v>1.6378339645818405</v>
      </c>
      <c r="BF19" s="21">
        <v>1.6378339645818405</v>
      </c>
      <c r="BG19" s="21">
        <v>1.6378339645818405</v>
      </c>
      <c r="BH19" s="21">
        <v>1.6378339645818405</v>
      </c>
      <c r="BI19" s="21">
        <v>1.6378339645818405</v>
      </c>
      <c r="BJ19" s="21">
        <v>1.6378339645818405</v>
      </c>
      <c r="BK19" s="21">
        <v>1.6378339645818405</v>
      </c>
      <c r="BL19" s="21">
        <v>1.6378339645818405</v>
      </c>
      <c r="BM19" s="21">
        <v>1.6378339645818405</v>
      </c>
      <c r="BN19" s="21">
        <v>1.6378339645818405</v>
      </c>
      <c r="BO19" s="21">
        <v>1.6378339645818405</v>
      </c>
      <c r="BP19" s="21">
        <v>1.6378339645818405</v>
      </c>
      <c r="BQ19" s="21">
        <v>1.6378339645818405</v>
      </c>
      <c r="BR19" s="21">
        <v>1.6378339645818405</v>
      </c>
      <c r="BS19" s="21">
        <v>1.6378339645818405</v>
      </c>
      <c r="BT19" s="21">
        <v>1.6378339645818405</v>
      </c>
      <c r="BU19" s="21">
        <v>1.6378339645818405</v>
      </c>
      <c r="BV19" s="21">
        <v>1.6378339645818405</v>
      </c>
      <c r="BW19" s="21">
        <v>1.6378339645818405</v>
      </c>
      <c r="BX19" s="21">
        <v>1.6378339645818405</v>
      </c>
      <c r="BY19" s="21">
        <v>1.6378339645818405</v>
      </c>
      <c r="BZ19" s="21">
        <v>1.6378339645818405</v>
      </c>
      <c r="CA19" s="21">
        <v>1.6378339645818405</v>
      </c>
      <c r="CB19" s="21">
        <v>1.6378339645818405</v>
      </c>
      <c r="CC19" s="21">
        <v>1.6378339645818405</v>
      </c>
      <c r="CD19" s="21">
        <v>1.6378339645818405</v>
      </c>
      <c r="CE19" s="21">
        <v>1.6378339645818405</v>
      </c>
      <c r="CF19" s="21">
        <v>1.6378339645818405</v>
      </c>
      <c r="CG19" s="21">
        <v>1.6378339645818405</v>
      </c>
      <c r="CH19" s="21">
        <v>1.6378339645818405</v>
      </c>
      <c r="CI19" s="21">
        <v>1.6378339645818405</v>
      </c>
      <c r="CJ19" s="21">
        <v>1.6378339645818405</v>
      </c>
      <c r="CK19" s="21">
        <v>1.6378339645818405</v>
      </c>
      <c r="CL19" s="21">
        <v>1.6378339645818405</v>
      </c>
      <c r="CM19" s="21">
        <v>1.6378339645818405</v>
      </c>
      <c r="CN19" s="21">
        <v>1.6378339645818405</v>
      </c>
      <c r="CO19" s="21">
        <v>1.6378339645818405</v>
      </c>
    </row>
    <row r="20" spans="1:93" x14ac:dyDescent="0.2">
      <c r="A20" s="4" t="s">
        <v>40</v>
      </c>
      <c r="B20" s="5" t="s">
        <v>26</v>
      </c>
      <c r="C20" s="19">
        <v>1.422868256730474</v>
      </c>
      <c r="D20" s="19">
        <v>1.422868256730474</v>
      </c>
      <c r="E20" s="19">
        <v>1.422868256730474</v>
      </c>
      <c r="F20" s="19">
        <v>1.422868256730474</v>
      </c>
      <c r="G20" s="19">
        <v>1.422868256730474</v>
      </c>
      <c r="H20" s="19">
        <v>1.422868256730474</v>
      </c>
      <c r="I20" s="19">
        <v>1.422868256730474</v>
      </c>
      <c r="J20" s="19">
        <v>1.422868256730474</v>
      </c>
      <c r="K20" s="19">
        <v>1.422868256730474</v>
      </c>
      <c r="L20" s="19">
        <v>1.422868256730474</v>
      </c>
      <c r="M20" s="19">
        <v>1.422868256730474</v>
      </c>
      <c r="N20" s="19">
        <v>1.422868256730474</v>
      </c>
      <c r="O20" s="19">
        <v>1.422868256730474</v>
      </c>
      <c r="P20" s="19">
        <v>1.422868256730474</v>
      </c>
      <c r="Q20" s="19">
        <v>1.422868256730474</v>
      </c>
      <c r="R20" s="19">
        <v>1.422868256730474</v>
      </c>
      <c r="S20" s="19">
        <v>1.422868256730474</v>
      </c>
      <c r="T20" s="19">
        <v>1.422868256730474</v>
      </c>
      <c r="U20" s="19">
        <v>1.422868256730474</v>
      </c>
      <c r="V20" s="19">
        <v>1.422868256730474</v>
      </c>
      <c r="W20" s="26">
        <v>1.422868256730474</v>
      </c>
      <c r="X20" s="19">
        <v>1.422868256730474</v>
      </c>
      <c r="Y20" s="19">
        <v>1.422868256730474</v>
      </c>
      <c r="Z20" s="19">
        <v>1.422868256730474</v>
      </c>
      <c r="AA20" s="19">
        <v>1.422868256730474</v>
      </c>
      <c r="AB20" s="19">
        <v>1.422868256730474</v>
      </c>
      <c r="AC20" s="19">
        <v>1.422868256730474</v>
      </c>
      <c r="AD20" s="19">
        <v>1.422868256730474</v>
      </c>
      <c r="AE20" s="19">
        <v>1.422868256730474</v>
      </c>
      <c r="AF20" s="19">
        <v>1.422868256730474</v>
      </c>
      <c r="AG20" s="19">
        <v>1.422868256730474</v>
      </c>
      <c r="AH20" s="19">
        <v>1.422868256730474</v>
      </c>
      <c r="AI20" s="19">
        <v>1.422868256730474</v>
      </c>
      <c r="AJ20" s="19">
        <v>1.422868256730474</v>
      </c>
      <c r="AK20" s="19">
        <v>1.422868256730474</v>
      </c>
      <c r="AL20" s="19">
        <v>1.422868256730474</v>
      </c>
      <c r="AM20" s="19">
        <v>1.422868256730474</v>
      </c>
      <c r="AN20" s="19">
        <v>1.422868256730474</v>
      </c>
      <c r="AO20" s="19">
        <v>1.422868256730474</v>
      </c>
      <c r="AP20" s="19">
        <v>1.422868256730474</v>
      </c>
      <c r="AQ20" s="19">
        <v>1.422868256730474</v>
      </c>
      <c r="AR20" s="19">
        <v>1.422868256730474</v>
      </c>
      <c r="AS20" s="19">
        <v>1.422868256730474</v>
      </c>
      <c r="AT20" s="19">
        <v>1.422868256730474</v>
      </c>
      <c r="AU20" s="19">
        <v>1.422868256730474</v>
      </c>
      <c r="AV20" s="19">
        <v>1.422868256730474</v>
      </c>
      <c r="AW20" s="19">
        <v>1.422868256730474</v>
      </c>
      <c r="AX20" s="19">
        <v>1.422868256730474</v>
      </c>
      <c r="AY20" s="19">
        <v>1.422868256730474</v>
      </c>
      <c r="AZ20" s="19">
        <v>1.422868256730474</v>
      </c>
      <c r="BA20" s="19">
        <v>1.422868256730474</v>
      </c>
      <c r="BB20" s="21">
        <v>1.422868256730474</v>
      </c>
      <c r="BC20" s="21">
        <v>1.422868256730474</v>
      </c>
      <c r="BD20" s="21">
        <v>1.422868256730474</v>
      </c>
      <c r="BE20" s="21">
        <v>1.422868256730474</v>
      </c>
      <c r="BF20" s="21">
        <v>1.422868256730474</v>
      </c>
      <c r="BG20" s="21">
        <v>1.422868256730474</v>
      </c>
      <c r="BH20" s="21">
        <v>1.422868256730474</v>
      </c>
      <c r="BI20" s="21">
        <v>1.422868256730474</v>
      </c>
      <c r="BJ20" s="21">
        <v>1.422868256730474</v>
      </c>
      <c r="BK20" s="21">
        <v>1.422868256730474</v>
      </c>
      <c r="BL20" s="21">
        <v>1.422868256730474</v>
      </c>
      <c r="BM20" s="21">
        <v>1.422868256730474</v>
      </c>
      <c r="BN20" s="21">
        <v>1.422868256730474</v>
      </c>
      <c r="BO20" s="21">
        <v>1.422868256730474</v>
      </c>
      <c r="BP20" s="21">
        <v>1.422868256730474</v>
      </c>
      <c r="BQ20" s="21">
        <v>1.422868256730474</v>
      </c>
      <c r="BR20" s="21">
        <v>1.422868256730474</v>
      </c>
      <c r="BS20" s="21">
        <v>1.422868256730474</v>
      </c>
      <c r="BT20" s="21">
        <v>1.422868256730474</v>
      </c>
      <c r="BU20" s="21">
        <v>1.422868256730474</v>
      </c>
      <c r="BV20" s="21">
        <v>1.422868256730474</v>
      </c>
      <c r="BW20" s="21">
        <v>1.422868256730474</v>
      </c>
      <c r="BX20" s="21">
        <v>1.422868256730474</v>
      </c>
      <c r="BY20" s="21">
        <v>1.422868256730474</v>
      </c>
      <c r="BZ20" s="21">
        <v>1.422868256730474</v>
      </c>
      <c r="CA20" s="21">
        <v>1.422868256730474</v>
      </c>
      <c r="CB20" s="21">
        <v>1.422868256730474</v>
      </c>
      <c r="CC20" s="21">
        <v>1.422868256730474</v>
      </c>
      <c r="CD20" s="21">
        <v>1.422868256730474</v>
      </c>
      <c r="CE20" s="21">
        <v>1.422868256730474</v>
      </c>
      <c r="CF20" s="21">
        <v>1.422868256730474</v>
      </c>
      <c r="CG20" s="21">
        <v>1.422868256730474</v>
      </c>
      <c r="CH20" s="21">
        <v>1.422868256730474</v>
      </c>
      <c r="CI20" s="21">
        <v>1.422868256730474</v>
      </c>
      <c r="CJ20" s="21">
        <v>1.422868256730474</v>
      </c>
      <c r="CK20" s="21">
        <v>1.422868256730474</v>
      </c>
      <c r="CL20" s="21">
        <v>1.422868256730474</v>
      </c>
      <c r="CM20" s="21">
        <v>1.422868256730474</v>
      </c>
      <c r="CN20" s="21">
        <v>1.422868256730474</v>
      </c>
      <c r="CO20" s="21">
        <v>1.422868256730474</v>
      </c>
    </row>
    <row r="21" spans="1:93" s="6" customFormat="1" x14ac:dyDescent="0.2">
      <c r="A21" s="4" t="s">
        <v>41</v>
      </c>
      <c r="B21" s="5" t="s">
        <v>26</v>
      </c>
      <c r="C21" s="19">
        <v>2.9173917494114034</v>
      </c>
      <c r="D21" s="19">
        <v>2.9173917494114034</v>
      </c>
      <c r="E21" s="19">
        <v>2.9173917494114034</v>
      </c>
      <c r="F21" s="19">
        <v>2.9173917494114034</v>
      </c>
      <c r="G21" s="19">
        <v>2.9173917494114034</v>
      </c>
      <c r="H21" s="19">
        <v>2.9173917494114034</v>
      </c>
      <c r="I21" s="19">
        <v>2.9173917494114034</v>
      </c>
      <c r="J21" s="19">
        <v>2.9173917494114034</v>
      </c>
      <c r="K21" s="19">
        <v>2.9173917494114034</v>
      </c>
      <c r="L21" s="19">
        <v>2.9173917494114034</v>
      </c>
      <c r="M21" s="19">
        <v>2.9173917494114034</v>
      </c>
      <c r="N21" s="19">
        <v>2.9173917494114034</v>
      </c>
      <c r="O21" s="19">
        <v>2.9173917494114034</v>
      </c>
      <c r="P21" s="19">
        <v>2.9173917494114034</v>
      </c>
      <c r="Q21" s="19">
        <v>2.9173917494114034</v>
      </c>
      <c r="R21" s="19">
        <v>2.9173917494114034</v>
      </c>
      <c r="S21" s="19">
        <v>2.9173917494114034</v>
      </c>
      <c r="T21" s="19">
        <v>2.9173917494114034</v>
      </c>
      <c r="U21" s="19">
        <v>2.9173917494114034</v>
      </c>
      <c r="V21" s="19">
        <v>2.9173917494114034</v>
      </c>
      <c r="W21" s="26">
        <v>2.9173917494114034</v>
      </c>
      <c r="X21" s="19">
        <v>2.9173917494114034</v>
      </c>
      <c r="Y21" s="19">
        <v>2.9173917494114034</v>
      </c>
      <c r="Z21" s="19">
        <v>2.9173917494114034</v>
      </c>
      <c r="AA21" s="19">
        <v>2.9173917494114034</v>
      </c>
      <c r="AB21" s="19">
        <v>2.9173917494114034</v>
      </c>
      <c r="AC21" s="19">
        <v>2.9173917494114034</v>
      </c>
      <c r="AD21" s="19">
        <v>2.9173917494114034</v>
      </c>
      <c r="AE21" s="19">
        <v>2.9173917494114034</v>
      </c>
      <c r="AF21" s="19">
        <v>2.9173917494114034</v>
      </c>
      <c r="AG21" s="19">
        <v>2.9173917494114034</v>
      </c>
      <c r="AH21" s="19">
        <v>2.9173917494114034</v>
      </c>
      <c r="AI21" s="19">
        <v>2.9173917494114034</v>
      </c>
      <c r="AJ21" s="19">
        <v>2.9173917494114034</v>
      </c>
      <c r="AK21" s="19">
        <v>2.9173917494114034</v>
      </c>
      <c r="AL21" s="19">
        <v>2.9173917494114034</v>
      </c>
      <c r="AM21" s="19">
        <v>2.9173917494114034</v>
      </c>
      <c r="AN21" s="19">
        <v>2.9173917494114034</v>
      </c>
      <c r="AO21" s="19">
        <v>2.9173917494114034</v>
      </c>
      <c r="AP21" s="19">
        <v>2.9173917494114034</v>
      </c>
      <c r="AQ21" s="19">
        <v>2.9173917494114034</v>
      </c>
      <c r="AR21" s="19">
        <v>2.9173917494114034</v>
      </c>
      <c r="AS21" s="19">
        <v>2.9173917494114034</v>
      </c>
      <c r="AT21" s="19">
        <v>2.9173917494114034</v>
      </c>
      <c r="AU21" s="19">
        <v>2.9173917494114034</v>
      </c>
      <c r="AV21" s="19">
        <v>2.9173917494114034</v>
      </c>
      <c r="AW21" s="19">
        <v>2.9173917494114034</v>
      </c>
      <c r="AX21" s="19">
        <v>2.9173917494114034</v>
      </c>
      <c r="AY21" s="19">
        <v>2.9173917494114034</v>
      </c>
      <c r="AZ21" s="19">
        <v>2.9173917494114034</v>
      </c>
      <c r="BA21" s="19">
        <v>2.9173917494114034</v>
      </c>
      <c r="BB21" s="25">
        <v>2.9173917494114034</v>
      </c>
      <c r="BC21" s="25">
        <v>2.9173917494114034</v>
      </c>
      <c r="BD21" s="25">
        <v>2.9173917494114034</v>
      </c>
      <c r="BE21" s="25">
        <v>2.9173917494114034</v>
      </c>
      <c r="BF21" s="25">
        <v>2.9173917494114034</v>
      </c>
      <c r="BG21" s="25">
        <v>2.9173917494114034</v>
      </c>
      <c r="BH21" s="25">
        <v>2.9173917494114034</v>
      </c>
      <c r="BI21" s="25">
        <v>2.9173917494114034</v>
      </c>
      <c r="BJ21" s="25">
        <v>2.9173917494114034</v>
      </c>
      <c r="BK21" s="25">
        <v>2.9173917494114034</v>
      </c>
      <c r="BL21" s="25">
        <v>2.9173917494114034</v>
      </c>
      <c r="BM21" s="25">
        <v>2.9173917494114034</v>
      </c>
      <c r="BN21" s="25">
        <v>2.9173917494114034</v>
      </c>
      <c r="BO21" s="25">
        <v>2.9173917494114034</v>
      </c>
      <c r="BP21" s="25">
        <v>2.9173917494114034</v>
      </c>
      <c r="BQ21" s="25">
        <v>2.9173917494114034</v>
      </c>
      <c r="BR21" s="25">
        <v>2.9173917494114034</v>
      </c>
      <c r="BS21" s="25">
        <v>2.9173917494114034</v>
      </c>
      <c r="BT21" s="25">
        <v>2.9173917494114034</v>
      </c>
      <c r="BU21" s="25">
        <v>2.9173917494114034</v>
      </c>
      <c r="BV21" s="25">
        <v>2.9173917494114034</v>
      </c>
      <c r="BW21" s="25">
        <v>2.9173917494114034</v>
      </c>
      <c r="BX21" s="25">
        <v>2.9173917494114034</v>
      </c>
      <c r="BY21" s="25">
        <v>2.9173917494114034</v>
      </c>
      <c r="BZ21" s="25">
        <v>2.9173917494114034</v>
      </c>
      <c r="CA21" s="25">
        <v>2.9173917494114034</v>
      </c>
      <c r="CB21" s="25">
        <v>2.9173917494114034</v>
      </c>
      <c r="CC21" s="25">
        <v>2.9173917494114034</v>
      </c>
      <c r="CD21" s="25">
        <v>2.9173917494114034</v>
      </c>
      <c r="CE21" s="25">
        <v>2.9173917494114034</v>
      </c>
      <c r="CF21" s="25">
        <v>2.9173917494114034</v>
      </c>
      <c r="CG21" s="25">
        <v>2.9173917494114034</v>
      </c>
      <c r="CH21" s="25">
        <v>2.9173917494114034</v>
      </c>
      <c r="CI21" s="25">
        <v>2.9173917494114034</v>
      </c>
      <c r="CJ21" s="25">
        <v>2.9173917494114034</v>
      </c>
      <c r="CK21" s="25">
        <v>2.9173917494114034</v>
      </c>
      <c r="CL21" s="25">
        <v>2.9173917494114034</v>
      </c>
      <c r="CM21" s="25">
        <v>2.9173917494114034</v>
      </c>
      <c r="CN21" s="25">
        <v>2.9173917494114034</v>
      </c>
      <c r="CO21" s="25">
        <v>2.9173917494114034</v>
      </c>
    </row>
    <row r="22" spans="1:93" s="6" customFormat="1" x14ac:dyDescent="0.2">
      <c r="A22" s="4" t="s">
        <v>42</v>
      </c>
      <c r="B22" s="5" t="s">
        <v>26</v>
      </c>
      <c r="C22" s="19">
        <v>1.3989831780803221</v>
      </c>
      <c r="D22" s="19">
        <v>1.3989831780803221</v>
      </c>
      <c r="E22" s="19">
        <v>1.3989831780803221</v>
      </c>
      <c r="F22" s="19">
        <v>1.3989831780803221</v>
      </c>
      <c r="G22" s="19">
        <v>1.3989831780803221</v>
      </c>
      <c r="H22" s="19">
        <v>1.3989831780803221</v>
      </c>
      <c r="I22" s="19">
        <v>1.3989831780803221</v>
      </c>
      <c r="J22" s="19">
        <v>1.3989831780803221</v>
      </c>
      <c r="K22" s="19">
        <v>1.3989831780803221</v>
      </c>
      <c r="L22" s="19">
        <v>1.3989831780803221</v>
      </c>
      <c r="M22" s="19">
        <v>1.3989831780803221</v>
      </c>
      <c r="N22" s="19">
        <v>1.3989831780803221</v>
      </c>
      <c r="O22" s="19">
        <v>1.3989831780803221</v>
      </c>
      <c r="P22" s="19">
        <v>1.3989831780803221</v>
      </c>
      <c r="Q22" s="19">
        <v>1.3989831780803221</v>
      </c>
      <c r="R22" s="19">
        <v>1.3989831780803221</v>
      </c>
      <c r="S22" s="19">
        <v>1.3989831780803221</v>
      </c>
      <c r="T22" s="19">
        <v>1.3989831780803221</v>
      </c>
      <c r="U22" s="19">
        <v>1.3989831780803221</v>
      </c>
      <c r="V22" s="19">
        <v>1.3989831780803221</v>
      </c>
      <c r="W22" s="26">
        <v>1.3989831780803221</v>
      </c>
      <c r="X22" s="19">
        <v>1.3989831780803221</v>
      </c>
      <c r="Y22" s="19">
        <v>1.3989831780803221</v>
      </c>
      <c r="Z22" s="19">
        <v>1.3989831780803221</v>
      </c>
      <c r="AA22" s="19">
        <v>1.3989831780803221</v>
      </c>
      <c r="AB22" s="19">
        <v>1.3989831780803221</v>
      </c>
      <c r="AC22" s="19">
        <v>1.3989831780803221</v>
      </c>
      <c r="AD22" s="19">
        <v>1.3989831780803221</v>
      </c>
      <c r="AE22" s="19">
        <v>1.3989831780803221</v>
      </c>
      <c r="AF22" s="19">
        <v>1.3989831780803221</v>
      </c>
      <c r="AG22" s="19">
        <v>1.3989831780803221</v>
      </c>
      <c r="AH22" s="19">
        <v>1.3989831780803221</v>
      </c>
      <c r="AI22" s="19">
        <v>1.3989831780803221</v>
      </c>
      <c r="AJ22" s="19">
        <v>1.3989831780803221</v>
      </c>
      <c r="AK22" s="19">
        <v>1.3989831780803221</v>
      </c>
      <c r="AL22" s="19">
        <v>1.3989831780803221</v>
      </c>
      <c r="AM22" s="19">
        <v>1.3989831780803221</v>
      </c>
      <c r="AN22" s="19">
        <v>1.3989831780803221</v>
      </c>
      <c r="AO22" s="19">
        <v>1.3989831780803221</v>
      </c>
      <c r="AP22" s="19">
        <v>1.3989831780803221</v>
      </c>
      <c r="AQ22" s="19">
        <v>1.3989831780803221</v>
      </c>
      <c r="AR22" s="19">
        <v>1.3989831780803221</v>
      </c>
      <c r="AS22" s="19">
        <v>1.3989831780803221</v>
      </c>
      <c r="AT22" s="19">
        <v>1.3989831780803221</v>
      </c>
      <c r="AU22" s="19">
        <v>1.3989831780803221</v>
      </c>
      <c r="AV22" s="19">
        <v>1.3989831780803221</v>
      </c>
      <c r="AW22" s="19">
        <v>1.3989831780803221</v>
      </c>
      <c r="AX22" s="19">
        <v>1.3989831780803221</v>
      </c>
      <c r="AY22" s="19">
        <v>1.3989831780803221</v>
      </c>
      <c r="AZ22" s="19">
        <v>1.3989831780803221</v>
      </c>
      <c r="BA22" s="19">
        <v>1.3989831780803221</v>
      </c>
      <c r="BB22" s="25">
        <v>1.3989831780803221</v>
      </c>
      <c r="BC22" s="25">
        <v>1.3989831780803221</v>
      </c>
      <c r="BD22" s="25">
        <v>1.3989831780803221</v>
      </c>
      <c r="BE22" s="25">
        <v>1.3989831780803221</v>
      </c>
      <c r="BF22" s="25">
        <v>1.3989831780803221</v>
      </c>
      <c r="BG22" s="25">
        <v>1.3989831780803221</v>
      </c>
      <c r="BH22" s="25">
        <v>1.3989831780803221</v>
      </c>
      <c r="BI22" s="25">
        <v>1.3989831780803221</v>
      </c>
      <c r="BJ22" s="25">
        <v>1.3989831780803221</v>
      </c>
      <c r="BK22" s="25">
        <v>1.3989831780803221</v>
      </c>
      <c r="BL22" s="25">
        <v>1.3989831780803221</v>
      </c>
      <c r="BM22" s="25">
        <v>1.3989831780803221</v>
      </c>
      <c r="BN22" s="25">
        <v>1.3989831780803221</v>
      </c>
      <c r="BO22" s="25">
        <v>1.3989831780803221</v>
      </c>
      <c r="BP22" s="25">
        <v>1.3989831780803221</v>
      </c>
      <c r="BQ22" s="25">
        <v>1.3989831780803221</v>
      </c>
      <c r="BR22" s="25">
        <v>1.3989831780803221</v>
      </c>
      <c r="BS22" s="25">
        <v>1.3989831780803221</v>
      </c>
      <c r="BT22" s="25">
        <v>1.3989831780803221</v>
      </c>
      <c r="BU22" s="25">
        <v>1.3989831780803221</v>
      </c>
      <c r="BV22" s="25">
        <v>1.3989831780803221</v>
      </c>
      <c r="BW22" s="25">
        <v>1.3989831780803221</v>
      </c>
      <c r="BX22" s="25">
        <v>1.3989831780803221</v>
      </c>
      <c r="BY22" s="25">
        <v>1.3989831780803221</v>
      </c>
      <c r="BZ22" s="25">
        <v>1.3989831780803221</v>
      </c>
      <c r="CA22" s="25">
        <v>1.3989831780803221</v>
      </c>
      <c r="CB22" s="25">
        <v>1.3989831780803221</v>
      </c>
      <c r="CC22" s="25">
        <v>1.3989831780803221</v>
      </c>
      <c r="CD22" s="25">
        <v>1.3989831780803221</v>
      </c>
      <c r="CE22" s="25">
        <v>1.3989831780803221</v>
      </c>
      <c r="CF22" s="25">
        <v>1.3989831780803221</v>
      </c>
      <c r="CG22" s="25">
        <v>1.3989831780803221</v>
      </c>
      <c r="CH22" s="25">
        <v>1.3989831780803221</v>
      </c>
      <c r="CI22" s="25">
        <v>1.3989831780803221</v>
      </c>
      <c r="CJ22" s="25">
        <v>1.3989831780803221</v>
      </c>
      <c r="CK22" s="25">
        <v>1.3989831780803221</v>
      </c>
      <c r="CL22" s="25">
        <v>1.3989831780803221</v>
      </c>
      <c r="CM22" s="25">
        <v>1.3989831780803221</v>
      </c>
      <c r="CN22" s="25">
        <v>1.3989831780803221</v>
      </c>
      <c r="CO22" s="25">
        <v>1.3989831780803221</v>
      </c>
    </row>
    <row r="23" spans="1:93" s="6" customFormat="1" x14ac:dyDescent="0.2">
      <c r="A23" s="4" t="s">
        <v>43</v>
      </c>
      <c r="B23" s="5" t="s">
        <v>26</v>
      </c>
      <c r="C23" s="19">
        <v>1.3034428634797148</v>
      </c>
      <c r="D23" s="19">
        <v>1.3034428634797148</v>
      </c>
      <c r="E23" s="19">
        <v>1.3034428634797148</v>
      </c>
      <c r="F23" s="19">
        <v>1.3034428634797148</v>
      </c>
      <c r="G23" s="19">
        <v>1.3034428634797148</v>
      </c>
      <c r="H23" s="19">
        <v>1.3034428634797148</v>
      </c>
      <c r="I23" s="19">
        <v>1.3034428634797148</v>
      </c>
      <c r="J23" s="19">
        <v>1.3034428634797148</v>
      </c>
      <c r="K23" s="19">
        <v>1.3034428634797148</v>
      </c>
      <c r="L23" s="19">
        <v>1.3034428634797148</v>
      </c>
      <c r="M23" s="19">
        <v>1.3034428634797148</v>
      </c>
      <c r="N23" s="19">
        <v>1.3034428634797148</v>
      </c>
      <c r="O23" s="19">
        <v>1.3034428634797148</v>
      </c>
      <c r="P23" s="19">
        <v>1.3034428634797148</v>
      </c>
      <c r="Q23" s="19">
        <v>1.3034428634797148</v>
      </c>
      <c r="R23" s="19">
        <v>1.3034428634797148</v>
      </c>
      <c r="S23" s="19">
        <v>1.3034428634797148</v>
      </c>
      <c r="T23" s="19">
        <v>1.3034428634797148</v>
      </c>
      <c r="U23" s="19">
        <v>1.3034428634797148</v>
      </c>
      <c r="V23" s="19">
        <v>1.3034428634797148</v>
      </c>
      <c r="W23" s="26">
        <v>1.3034428634797148</v>
      </c>
      <c r="X23" s="19">
        <v>1.3034428634797148</v>
      </c>
      <c r="Y23" s="19">
        <v>1.3034428634797148</v>
      </c>
      <c r="Z23" s="19">
        <v>1.3034428634797148</v>
      </c>
      <c r="AA23" s="19">
        <v>1.3034428634797148</v>
      </c>
      <c r="AB23" s="19">
        <v>1.3034428634797148</v>
      </c>
      <c r="AC23" s="19">
        <v>1.3034428634797148</v>
      </c>
      <c r="AD23" s="19">
        <v>1.3034428634797148</v>
      </c>
      <c r="AE23" s="19">
        <v>1.3034428634797148</v>
      </c>
      <c r="AF23" s="19">
        <v>1.3034428634797148</v>
      </c>
      <c r="AG23" s="19">
        <v>1.3034428634797148</v>
      </c>
      <c r="AH23" s="19">
        <v>1.3034428634797148</v>
      </c>
      <c r="AI23" s="19">
        <v>1.3034428634797148</v>
      </c>
      <c r="AJ23" s="19">
        <v>1.3034428634797148</v>
      </c>
      <c r="AK23" s="19">
        <v>1.3034428634797148</v>
      </c>
      <c r="AL23" s="19">
        <v>1.3034428634797148</v>
      </c>
      <c r="AM23" s="19">
        <v>1.3034428634797148</v>
      </c>
      <c r="AN23" s="19">
        <v>1.3034428634797148</v>
      </c>
      <c r="AO23" s="19">
        <v>1.3034428634797148</v>
      </c>
      <c r="AP23" s="19">
        <v>1.3034428634797148</v>
      </c>
      <c r="AQ23" s="19">
        <v>1.3034428634797148</v>
      </c>
      <c r="AR23" s="19">
        <v>1.3034428634797148</v>
      </c>
      <c r="AS23" s="19">
        <v>1.3034428634797148</v>
      </c>
      <c r="AT23" s="19">
        <v>1.3034428634797148</v>
      </c>
      <c r="AU23" s="19">
        <v>1.3034428634797148</v>
      </c>
      <c r="AV23" s="19">
        <v>1.3034428634797148</v>
      </c>
      <c r="AW23" s="19">
        <v>1.3034428634797148</v>
      </c>
      <c r="AX23" s="19">
        <v>1.3034428634797148</v>
      </c>
      <c r="AY23" s="19">
        <v>1.3034428634797148</v>
      </c>
      <c r="AZ23" s="19">
        <v>1.3034428634797148</v>
      </c>
      <c r="BA23" s="19">
        <v>1.3034428634797148</v>
      </c>
      <c r="BB23" s="25">
        <v>1.3034428634797148</v>
      </c>
      <c r="BC23" s="25">
        <v>1.3034428634797148</v>
      </c>
      <c r="BD23" s="25">
        <v>1.3034428634797148</v>
      </c>
      <c r="BE23" s="25">
        <v>1.3034428634797148</v>
      </c>
      <c r="BF23" s="25">
        <v>1.3034428634797148</v>
      </c>
      <c r="BG23" s="25">
        <v>1.3034428634797148</v>
      </c>
      <c r="BH23" s="25">
        <v>1.3034428634797148</v>
      </c>
      <c r="BI23" s="25">
        <v>1.3034428634797148</v>
      </c>
      <c r="BJ23" s="25">
        <v>1.3034428634797148</v>
      </c>
      <c r="BK23" s="25">
        <v>1.3034428634797148</v>
      </c>
      <c r="BL23" s="25">
        <v>1.3034428634797148</v>
      </c>
      <c r="BM23" s="25">
        <v>1.3034428634797148</v>
      </c>
      <c r="BN23" s="25">
        <v>1.3034428634797148</v>
      </c>
      <c r="BO23" s="25">
        <v>1.3034428634797148</v>
      </c>
      <c r="BP23" s="25">
        <v>1.3034428634797148</v>
      </c>
      <c r="BQ23" s="25">
        <v>1.3034428634797148</v>
      </c>
      <c r="BR23" s="25">
        <v>1.3034428634797148</v>
      </c>
      <c r="BS23" s="25">
        <v>1.3034428634797148</v>
      </c>
      <c r="BT23" s="25">
        <v>1.3034428634797148</v>
      </c>
      <c r="BU23" s="25">
        <v>1.3034428634797148</v>
      </c>
      <c r="BV23" s="25">
        <v>1.3034428634797148</v>
      </c>
      <c r="BW23" s="25">
        <v>1.3034428634797148</v>
      </c>
      <c r="BX23" s="25">
        <v>1.3034428634797148</v>
      </c>
      <c r="BY23" s="25">
        <v>1.3034428634797148</v>
      </c>
      <c r="BZ23" s="25">
        <v>1.3034428634797148</v>
      </c>
      <c r="CA23" s="25">
        <v>1.3034428634797148</v>
      </c>
      <c r="CB23" s="25">
        <v>1.3034428634797148</v>
      </c>
      <c r="CC23" s="25">
        <v>1.3034428634797148</v>
      </c>
      <c r="CD23" s="25">
        <v>1.3034428634797148</v>
      </c>
      <c r="CE23" s="25">
        <v>1.3034428634797148</v>
      </c>
      <c r="CF23" s="25">
        <v>1.3034428634797148</v>
      </c>
      <c r="CG23" s="25">
        <v>1.3034428634797148</v>
      </c>
      <c r="CH23" s="25">
        <v>1.3034428634797148</v>
      </c>
      <c r="CI23" s="25">
        <v>1.3034428634797148</v>
      </c>
      <c r="CJ23" s="25">
        <v>1.3034428634797148</v>
      </c>
      <c r="CK23" s="25">
        <v>1.3034428634797148</v>
      </c>
      <c r="CL23" s="25">
        <v>1.3034428634797148</v>
      </c>
      <c r="CM23" s="25">
        <v>1.3034428634797148</v>
      </c>
      <c r="CN23" s="25">
        <v>1.3034428634797148</v>
      </c>
      <c r="CO23" s="25">
        <v>1.3034428634797148</v>
      </c>
    </row>
    <row r="24" spans="1:93" x14ac:dyDescent="0.2">
      <c r="A24" s="7"/>
      <c r="C24" s="19"/>
      <c r="D24" s="19"/>
      <c r="E24" s="19"/>
      <c r="F24" s="19"/>
      <c r="G24" s="19"/>
      <c r="H24" s="19"/>
      <c r="I24" s="19"/>
      <c r="J24" s="19"/>
      <c r="K24" s="19"/>
      <c r="L24" s="19"/>
      <c r="M24" s="19"/>
      <c r="N24" s="19"/>
      <c r="O24" s="19"/>
      <c r="P24" s="19"/>
      <c r="Q24" s="19"/>
      <c r="R24" s="19"/>
      <c r="S24" s="19"/>
      <c r="T24" s="19"/>
      <c r="U24" s="19"/>
      <c r="V24" s="19"/>
      <c r="W24" s="26"/>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row>
    <row r="25" spans="1:93" x14ac:dyDescent="0.2">
      <c r="A25" s="4" t="s">
        <v>63</v>
      </c>
      <c r="B25" s="5" t="s">
        <v>44</v>
      </c>
      <c r="C25" s="19">
        <v>51.043295497457152</v>
      </c>
      <c r="D25" s="19">
        <v>54.184984484743445</v>
      </c>
      <c r="E25" s="19">
        <v>57.326673472029746</v>
      </c>
      <c r="F25" s="19">
        <v>60.07565133590527</v>
      </c>
      <c r="G25" s="19">
        <v>63.217340323191586</v>
      </c>
      <c r="H25" s="19">
        <v>66.359029310477879</v>
      </c>
      <c r="I25" s="19">
        <v>69.50071829776418</v>
      </c>
      <c r="J25" s="19">
        <v>69.50071829776418</v>
      </c>
      <c r="K25" s="19">
        <v>69.50071829776418</v>
      </c>
      <c r="L25" s="19">
        <v>69.50071829776418</v>
      </c>
      <c r="M25" s="19">
        <v>69.50071829776418</v>
      </c>
      <c r="N25" s="19">
        <v>69.50071829776418</v>
      </c>
      <c r="O25" s="19">
        <v>69.50071829776418</v>
      </c>
      <c r="P25" s="19">
        <v>69.50071829776418</v>
      </c>
      <c r="Q25" s="19">
        <v>69.50071829776418</v>
      </c>
      <c r="R25" s="19">
        <v>69.50071829776418</v>
      </c>
      <c r="S25" s="19">
        <v>69.50071829776418</v>
      </c>
      <c r="T25" s="19">
        <v>69.50071829776418</v>
      </c>
      <c r="U25" s="19">
        <v>69.50071829776418</v>
      </c>
      <c r="V25" s="19">
        <v>69.50071829776418</v>
      </c>
      <c r="W25" s="26">
        <v>69.50071829776418</v>
      </c>
      <c r="X25" s="19">
        <v>69.50071829776418</v>
      </c>
      <c r="Y25" s="19">
        <v>69.50071829776418</v>
      </c>
      <c r="Z25" s="19">
        <v>69.50071829776418</v>
      </c>
      <c r="AA25" s="19">
        <v>69.50071829776418</v>
      </c>
      <c r="AB25" s="19">
        <v>69.50071829776418</v>
      </c>
      <c r="AC25" s="19">
        <v>69.50071829776418</v>
      </c>
      <c r="AD25" s="19">
        <v>69.50071829776418</v>
      </c>
      <c r="AE25" s="19">
        <v>69.50071829776418</v>
      </c>
      <c r="AF25" s="19">
        <v>69.50071829776418</v>
      </c>
      <c r="AG25" s="19">
        <v>69.50071829776418</v>
      </c>
      <c r="AH25" s="19">
        <v>69.50071829776418</v>
      </c>
      <c r="AI25" s="19">
        <v>69.50071829776418</v>
      </c>
      <c r="AJ25" s="19">
        <v>69.50071829776418</v>
      </c>
      <c r="AK25" s="19">
        <v>69.50071829776418</v>
      </c>
      <c r="AL25" s="19">
        <v>69.50071829776418</v>
      </c>
      <c r="AM25" s="19">
        <v>69.50071829776418</v>
      </c>
      <c r="AN25" s="19">
        <v>69.50071829776418</v>
      </c>
      <c r="AO25" s="19">
        <v>69.50071829776418</v>
      </c>
      <c r="AP25" s="19">
        <v>69.50071829776418</v>
      </c>
      <c r="AQ25" s="19">
        <v>69.50071829776418</v>
      </c>
      <c r="AR25" s="19">
        <v>69.50071829776418</v>
      </c>
      <c r="AS25" s="19">
        <v>69.50071829776418</v>
      </c>
      <c r="AT25" s="19">
        <v>69.50071829776418</v>
      </c>
      <c r="AU25" s="19">
        <v>69.50071829776418</v>
      </c>
      <c r="AV25" s="19">
        <v>69.50071829776418</v>
      </c>
      <c r="AW25" s="19">
        <v>69.50071829776418</v>
      </c>
      <c r="AX25" s="19">
        <v>69.50071829776418</v>
      </c>
      <c r="AY25" s="19">
        <v>69.50071829776418</v>
      </c>
      <c r="AZ25" s="19">
        <v>69.50071829776418</v>
      </c>
      <c r="BA25" s="19">
        <v>69.50071829776418</v>
      </c>
      <c r="BB25" s="19">
        <v>69.50071829776418</v>
      </c>
      <c r="BC25" s="19">
        <v>69.50071829776418</v>
      </c>
      <c r="BD25" s="19">
        <v>69.50071829776418</v>
      </c>
      <c r="BE25" s="19">
        <v>69.50071829776418</v>
      </c>
      <c r="BF25" s="19">
        <v>69.50071829776418</v>
      </c>
      <c r="BG25" s="19">
        <v>69.50071829776418</v>
      </c>
      <c r="BH25" s="19">
        <v>69.50071829776418</v>
      </c>
      <c r="BI25" s="19">
        <v>69.50071829776418</v>
      </c>
      <c r="BJ25" s="19">
        <v>69.50071829776418</v>
      </c>
      <c r="BK25" s="19">
        <v>69.50071829776418</v>
      </c>
      <c r="BL25" s="19">
        <v>69.50071829776418</v>
      </c>
      <c r="BM25" s="19">
        <v>69.50071829776418</v>
      </c>
      <c r="BN25" s="19">
        <v>69.50071829776418</v>
      </c>
      <c r="BO25" s="19">
        <v>69.50071829776418</v>
      </c>
      <c r="BP25" s="19">
        <v>69.50071829776418</v>
      </c>
      <c r="BQ25" s="19">
        <v>69.50071829776418</v>
      </c>
      <c r="BR25" s="19">
        <v>69.50071829776418</v>
      </c>
      <c r="BS25" s="19">
        <v>69.50071829776418</v>
      </c>
      <c r="BT25" s="19">
        <v>69.50071829776418</v>
      </c>
      <c r="BU25" s="19">
        <v>69.50071829776418</v>
      </c>
      <c r="BV25" s="19">
        <v>69.50071829776418</v>
      </c>
      <c r="BW25" s="19">
        <v>69.50071829776418</v>
      </c>
      <c r="BX25" s="19">
        <v>69.50071829776418</v>
      </c>
      <c r="BY25" s="19">
        <v>69.50071829776418</v>
      </c>
      <c r="BZ25" s="19">
        <v>69.50071829776418</v>
      </c>
      <c r="CA25" s="19">
        <v>69.50071829776418</v>
      </c>
      <c r="CB25" s="19">
        <v>69.50071829776418</v>
      </c>
      <c r="CC25" s="19">
        <v>69.50071829776418</v>
      </c>
      <c r="CD25" s="19">
        <v>69.50071829776418</v>
      </c>
      <c r="CE25" s="19">
        <v>69.50071829776418</v>
      </c>
      <c r="CF25" s="19">
        <v>69.50071829776418</v>
      </c>
      <c r="CG25" s="19">
        <v>69.50071829776418</v>
      </c>
      <c r="CH25" s="19">
        <v>69.50071829776418</v>
      </c>
      <c r="CI25" s="19">
        <v>69.50071829776418</v>
      </c>
      <c r="CJ25" s="19">
        <v>69.50071829776418</v>
      </c>
      <c r="CK25" s="19">
        <v>69.50071829776418</v>
      </c>
      <c r="CL25" s="19">
        <v>69.50071829776418</v>
      </c>
      <c r="CM25" s="19">
        <v>69.50071829776418</v>
      </c>
      <c r="CN25" s="19">
        <v>69.50071829776418</v>
      </c>
      <c r="CO25" s="19">
        <v>69.50071829776418</v>
      </c>
    </row>
    <row r="26" spans="1:93" x14ac:dyDescent="0.2">
      <c r="A26" s="4" t="s">
        <v>64</v>
      </c>
      <c r="B26" s="5" t="s">
        <v>44</v>
      </c>
      <c r="C26" s="19">
        <v>55.900829429295484</v>
      </c>
      <c r="D26" s="19">
        <v>59.109395763056568</v>
      </c>
      <c r="E26" s="19">
        <v>62.317962096817666</v>
      </c>
      <c r="F26" s="19">
        <v>65.12545763885862</v>
      </c>
      <c r="G26" s="19">
        <v>68.334023972619704</v>
      </c>
      <c r="H26" s="19">
        <v>71.542590306380788</v>
      </c>
      <c r="I26" s="19">
        <v>74.751156640141872</v>
      </c>
      <c r="J26" s="19">
        <v>74.751156640141872</v>
      </c>
      <c r="K26" s="19">
        <v>74.751156640141872</v>
      </c>
      <c r="L26" s="19">
        <v>74.751156640141872</v>
      </c>
      <c r="M26" s="19">
        <v>74.751156640141872</v>
      </c>
      <c r="N26" s="19">
        <v>74.751156640141872</v>
      </c>
      <c r="O26" s="19">
        <v>74.751156640141872</v>
      </c>
      <c r="P26" s="19">
        <v>74.751156640141872</v>
      </c>
      <c r="Q26" s="19">
        <v>74.751156640141872</v>
      </c>
      <c r="R26" s="19">
        <v>74.751156640141872</v>
      </c>
      <c r="S26" s="19">
        <v>74.751156640141872</v>
      </c>
      <c r="T26" s="19">
        <v>74.751156640141872</v>
      </c>
      <c r="U26" s="19">
        <v>74.751156640141872</v>
      </c>
      <c r="V26" s="19">
        <v>74.751156640141872</v>
      </c>
      <c r="W26" s="26">
        <v>74.751156640141872</v>
      </c>
      <c r="X26" s="19">
        <v>74.751156640141872</v>
      </c>
      <c r="Y26" s="19">
        <v>74.751156640141872</v>
      </c>
      <c r="Z26" s="19">
        <v>74.751156640141872</v>
      </c>
      <c r="AA26" s="19">
        <v>74.751156640141872</v>
      </c>
      <c r="AB26" s="19">
        <v>74.751156640141872</v>
      </c>
      <c r="AC26" s="19">
        <v>74.751156640141872</v>
      </c>
      <c r="AD26" s="19">
        <v>74.751156640141872</v>
      </c>
      <c r="AE26" s="19">
        <v>74.751156640141872</v>
      </c>
      <c r="AF26" s="19">
        <v>74.751156640141872</v>
      </c>
      <c r="AG26" s="19">
        <v>74.751156640141872</v>
      </c>
      <c r="AH26" s="19">
        <v>74.751156640141872</v>
      </c>
      <c r="AI26" s="19">
        <v>74.751156640141872</v>
      </c>
      <c r="AJ26" s="19">
        <v>74.751156640141872</v>
      </c>
      <c r="AK26" s="19">
        <v>74.751156640141872</v>
      </c>
      <c r="AL26" s="19">
        <v>74.751156640141872</v>
      </c>
      <c r="AM26" s="19">
        <v>74.751156640141872</v>
      </c>
      <c r="AN26" s="19">
        <v>74.751156640141872</v>
      </c>
      <c r="AO26" s="19">
        <v>74.751156640141872</v>
      </c>
      <c r="AP26" s="19">
        <v>74.751156640141872</v>
      </c>
      <c r="AQ26" s="19">
        <v>74.751156640141872</v>
      </c>
      <c r="AR26" s="19">
        <v>74.751156640141872</v>
      </c>
      <c r="AS26" s="19">
        <v>74.751156640141872</v>
      </c>
      <c r="AT26" s="19">
        <v>74.751156640141872</v>
      </c>
      <c r="AU26" s="19">
        <v>74.751156640141872</v>
      </c>
      <c r="AV26" s="19">
        <v>74.751156640141872</v>
      </c>
      <c r="AW26" s="19">
        <v>74.751156640141872</v>
      </c>
      <c r="AX26" s="19">
        <v>74.751156640141872</v>
      </c>
      <c r="AY26" s="19">
        <v>74.751156640141872</v>
      </c>
      <c r="AZ26" s="19">
        <v>74.751156640141872</v>
      </c>
      <c r="BA26" s="19">
        <v>74.751156640141872</v>
      </c>
      <c r="BB26" s="19">
        <v>74.751156640141872</v>
      </c>
      <c r="BC26" s="19">
        <v>74.751156640141872</v>
      </c>
      <c r="BD26" s="19">
        <v>74.751156640141872</v>
      </c>
      <c r="BE26" s="19">
        <v>74.751156640141872</v>
      </c>
      <c r="BF26" s="19">
        <v>74.751156640141872</v>
      </c>
      <c r="BG26" s="19">
        <v>74.751156640141872</v>
      </c>
      <c r="BH26" s="19">
        <v>74.751156640141872</v>
      </c>
      <c r="BI26" s="19">
        <v>74.751156640141872</v>
      </c>
      <c r="BJ26" s="19">
        <v>74.751156640141872</v>
      </c>
      <c r="BK26" s="19">
        <v>74.751156640141872</v>
      </c>
      <c r="BL26" s="19">
        <v>74.751156640141872</v>
      </c>
      <c r="BM26" s="19">
        <v>74.751156640141872</v>
      </c>
      <c r="BN26" s="19">
        <v>74.751156640141872</v>
      </c>
      <c r="BO26" s="19">
        <v>74.751156640141872</v>
      </c>
      <c r="BP26" s="19">
        <v>74.751156640141872</v>
      </c>
      <c r="BQ26" s="19">
        <v>74.751156640141872</v>
      </c>
      <c r="BR26" s="19">
        <v>74.751156640141872</v>
      </c>
      <c r="BS26" s="19">
        <v>74.751156640141872</v>
      </c>
      <c r="BT26" s="19">
        <v>74.751156640141872</v>
      </c>
      <c r="BU26" s="19">
        <v>74.751156640141872</v>
      </c>
      <c r="BV26" s="19">
        <v>74.751156640141872</v>
      </c>
      <c r="BW26" s="19">
        <v>74.751156640141872</v>
      </c>
      <c r="BX26" s="19">
        <v>74.751156640141872</v>
      </c>
      <c r="BY26" s="19">
        <v>74.751156640141872</v>
      </c>
      <c r="BZ26" s="19">
        <v>74.751156640141872</v>
      </c>
      <c r="CA26" s="19">
        <v>74.751156640141872</v>
      </c>
      <c r="CB26" s="19">
        <v>74.751156640141872</v>
      </c>
      <c r="CC26" s="19">
        <v>74.751156640141872</v>
      </c>
      <c r="CD26" s="19">
        <v>74.751156640141872</v>
      </c>
      <c r="CE26" s="19">
        <v>74.751156640141872</v>
      </c>
      <c r="CF26" s="19">
        <v>74.751156640141872</v>
      </c>
      <c r="CG26" s="19">
        <v>74.751156640141872</v>
      </c>
      <c r="CH26" s="19">
        <v>74.751156640141872</v>
      </c>
      <c r="CI26" s="19">
        <v>74.751156640141872</v>
      </c>
      <c r="CJ26" s="19">
        <v>74.751156640141872</v>
      </c>
      <c r="CK26" s="19">
        <v>74.751156640141872</v>
      </c>
      <c r="CL26" s="19">
        <v>74.751156640141872</v>
      </c>
      <c r="CM26" s="19">
        <v>74.751156640141872</v>
      </c>
      <c r="CN26" s="19">
        <v>74.751156640141872</v>
      </c>
      <c r="CO26" s="19">
        <v>74.751156640141872</v>
      </c>
    </row>
    <row r="27" spans="1:93" x14ac:dyDescent="0.2">
      <c r="A27" s="4" t="s">
        <v>65</v>
      </c>
      <c r="B27" s="5" t="s">
        <v>44</v>
      </c>
      <c r="C27" s="19">
        <v>53.18292784703111</v>
      </c>
      <c r="D27" s="19">
        <v>56.391494180792193</v>
      </c>
      <c r="E27" s="19">
        <v>59.600060514553292</v>
      </c>
      <c r="F27" s="19">
        <v>62.407556056594231</v>
      </c>
      <c r="G27" s="19">
        <v>65.616122390355315</v>
      </c>
      <c r="H27" s="19">
        <v>68.824688724116413</v>
      </c>
      <c r="I27" s="19">
        <v>72.033255057877497</v>
      </c>
      <c r="J27" s="19">
        <v>72.033255057877497</v>
      </c>
      <c r="K27" s="19">
        <v>72.033255057877497</v>
      </c>
      <c r="L27" s="19">
        <v>72.033255057877497</v>
      </c>
      <c r="M27" s="19">
        <v>72.033255057877497</v>
      </c>
      <c r="N27" s="19">
        <v>72.033255057877497</v>
      </c>
      <c r="O27" s="19">
        <v>72.033255057877497</v>
      </c>
      <c r="P27" s="19">
        <v>72.033255057877497</v>
      </c>
      <c r="Q27" s="19">
        <v>72.033255057877497</v>
      </c>
      <c r="R27" s="19">
        <v>72.033255057877497</v>
      </c>
      <c r="S27" s="19">
        <v>72.033255057877497</v>
      </c>
      <c r="T27" s="19">
        <v>72.033255057877497</v>
      </c>
      <c r="U27" s="19">
        <v>72.033255057877497</v>
      </c>
      <c r="V27" s="19">
        <v>72.033255057877497</v>
      </c>
      <c r="W27" s="26">
        <v>72.033255057877497</v>
      </c>
      <c r="X27" s="19">
        <v>72.033255057877497</v>
      </c>
      <c r="Y27" s="19">
        <v>72.033255057877497</v>
      </c>
      <c r="Z27" s="19">
        <v>72.033255057877497</v>
      </c>
      <c r="AA27" s="19">
        <v>72.033255057877497</v>
      </c>
      <c r="AB27" s="19">
        <v>72.033255057877497</v>
      </c>
      <c r="AC27" s="19">
        <v>72.033255057877497</v>
      </c>
      <c r="AD27" s="19">
        <v>72.033255057877497</v>
      </c>
      <c r="AE27" s="19">
        <v>72.033255057877497</v>
      </c>
      <c r="AF27" s="19">
        <v>72.033255057877497</v>
      </c>
      <c r="AG27" s="19">
        <v>72.033255057877497</v>
      </c>
      <c r="AH27" s="19">
        <v>72.033255057877497</v>
      </c>
      <c r="AI27" s="19">
        <v>72.033255057877497</v>
      </c>
      <c r="AJ27" s="19">
        <v>72.033255057877497</v>
      </c>
      <c r="AK27" s="19">
        <v>72.033255057877497</v>
      </c>
      <c r="AL27" s="19">
        <v>72.033255057877497</v>
      </c>
      <c r="AM27" s="19">
        <v>72.033255057877497</v>
      </c>
      <c r="AN27" s="19">
        <v>72.033255057877497</v>
      </c>
      <c r="AO27" s="19">
        <v>72.033255057877497</v>
      </c>
      <c r="AP27" s="19">
        <v>72.033255057877497</v>
      </c>
      <c r="AQ27" s="19">
        <v>72.033255057877497</v>
      </c>
      <c r="AR27" s="19">
        <v>72.033255057877497</v>
      </c>
      <c r="AS27" s="19">
        <v>72.033255057877497</v>
      </c>
      <c r="AT27" s="19">
        <v>72.033255057877497</v>
      </c>
      <c r="AU27" s="19">
        <v>72.033255057877497</v>
      </c>
      <c r="AV27" s="19">
        <v>72.033255057877497</v>
      </c>
      <c r="AW27" s="19">
        <v>72.033255057877497</v>
      </c>
      <c r="AX27" s="19">
        <v>72.033255057877497</v>
      </c>
      <c r="AY27" s="19">
        <v>72.033255057877497</v>
      </c>
      <c r="AZ27" s="19">
        <v>72.033255057877497</v>
      </c>
      <c r="BA27" s="19">
        <v>72.033255057877497</v>
      </c>
      <c r="BB27" s="19">
        <v>72.033255057877497</v>
      </c>
      <c r="BC27" s="19">
        <v>72.033255057877497</v>
      </c>
      <c r="BD27" s="19">
        <v>72.033255057877497</v>
      </c>
      <c r="BE27" s="19">
        <v>72.033255057877497</v>
      </c>
      <c r="BF27" s="19">
        <v>72.033255057877497</v>
      </c>
      <c r="BG27" s="19">
        <v>72.033255057877497</v>
      </c>
      <c r="BH27" s="19">
        <v>72.033255057877497</v>
      </c>
      <c r="BI27" s="19">
        <v>72.033255057877497</v>
      </c>
      <c r="BJ27" s="19">
        <v>72.033255057877497</v>
      </c>
      <c r="BK27" s="19">
        <v>72.033255057877497</v>
      </c>
      <c r="BL27" s="19">
        <v>72.033255057877497</v>
      </c>
      <c r="BM27" s="19">
        <v>72.033255057877497</v>
      </c>
      <c r="BN27" s="19">
        <v>72.033255057877497</v>
      </c>
      <c r="BO27" s="19">
        <v>72.033255057877497</v>
      </c>
      <c r="BP27" s="19">
        <v>72.033255057877497</v>
      </c>
      <c r="BQ27" s="19">
        <v>72.033255057877497</v>
      </c>
      <c r="BR27" s="19">
        <v>72.033255057877497</v>
      </c>
      <c r="BS27" s="19">
        <v>72.033255057877497</v>
      </c>
      <c r="BT27" s="19">
        <v>72.033255057877497</v>
      </c>
      <c r="BU27" s="19">
        <v>72.033255057877497</v>
      </c>
      <c r="BV27" s="19">
        <v>72.033255057877497</v>
      </c>
      <c r="BW27" s="19">
        <v>72.033255057877497</v>
      </c>
      <c r="BX27" s="19">
        <v>72.033255057877497</v>
      </c>
      <c r="BY27" s="19">
        <v>72.033255057877497</v>
      </c>
      <c r="BZ27" s="19">
        <v>72.033255057877497</v>
      </c>
      <c r="CA27" s="19">
        <v>72.033255057877497</v>
      </c>
      <c r="CB27" s="19">
        <v>72.033255057877497</v>
      </c>
      <c r="CC27" s="19">
        <v>72.033255057877497</v>
      </c>
      <c r="CD27" s="19">
        <v>72.033255057877497</v>
      </c>
      <c r="CE27" s="19">
        <v>72.033255057877497</v>
      </c>
      <c r="CF27" s="19">
        <v>72.033255057877497</v>
      </c>
      <c r="CG27" s="19">
        <v>72.033255057877497</v>
      </c>
      <c r="CH27" s="19">
        <v>72.033255057877497</v>
      </c>
      <c r="CI27" s="19">
        <v>72.033255057877497</v>
      </c>
      <c r="CJ27" s="19">
        <v>72.033255057877497</v>
      </c>
      <c r="CK27" s="19">
        <v>72.033255057877497</v>
      </c>
      <c r="CL27" s="19">
        <v>72.033255057877497</v>
      </c>
      <c r="CM27" s="19">
        <v>72.033255057877497</v>
      </c>
      <c r="CN27" s="19">
        <v>72.033255057877497</v>
      </c>
      <c r="CO27" s="19">
        <v>72.033255057877497</v>
      </c>
    </row>
    <row r="28" spans="1:93" s="6" customFormat="1" x14ac:dyDescent="0.2">
      <c r="A28" s="4" t="s">
        <v>66</v>
      </c>
      <c r="B28" s="5" t="s">
        <v>44</v>
      </c>
      <c r="C28" s="19">
        <v>45.612662378530615</v>
      </c>
      <c r="D28" s="19">
        <v>48.604747128327091</v>
      </c>
      <c r="E28" s="19">
        <v>51.596831878123567</v>
      </c>
      <c r="F28" s="19">
        <v>54.214906034195494</v>
      </c>
      <c r="G28" s="19">
        <v>57.206990783991984</v>
      </c>
      <c r="H28" s="19">
        <v>60.199075533788459</v>
      </c>
      <c r="I28" s="19">
        <v>63.191160283584935</v>
      </c>
      <c r="J28" s="19">
        <v>63.191160283584935</v>
      </c>
      <c r="K28" s="19">
        <v>63.191160283584935</v>
      </c>
      <c r="L28" s="19">
        <v>63.191160283584935</v>
      </c>
      <c r="M28" s="19">
        <v>63.191160283584935</v>
      </c>
      <c r="N28" s="19">
        <v>63.191160283584935</v>
      </c>
      <c r="O28" s="19">
        <v>63.191160283584935</v>
      </c>
      <c r="P28" s="19">
        <v>63.191160283584935</v>
      </c>
      <c r="Q28" s="19">
        <v>63.191160283584935</v>
      </c>
      <c r="R28" s="19">
        <v>63.191160283584935</v>
      </c>
      <c r="S28" s="19">
        <v>63.191160283584935</v>
      </c>
      <c r="T28" s="19">
        <v>63.191160283584935</v>
      </c>
      <c r="U28" s="19">
        <v>63.191160283584935</v>
      </c>
      <c r="V28" s="19">
        <v>63.191160283584935</v>
      </c>
      <c r="W28" s="26">
        <v>63.191160283584935</v>
      </c>
      <c r="X28" s="19">
        <v>63.191160283584935</v>
      </c>
      <c r="Y28" s="19">
        <v>63.191160283584935</v>
      </c>
      <c r="Z28" s="19">
        <v>63.191160283584935</v>
      </c>
      <c r="AA28" s="19">
        <v>63.191160283584935</v>
      </c>
      <c r="AB28" s="19">
        <v>63.191160283584935</v>
      </c>
      <c r="AC28" s="19">
        <v>63.191160283584935</v>
      </c>
      <c r="AD28" s="19">
        <v>63.191160283584935</v>
      </c>
      <c r="AE28" s="19">
        <v>63.191160283584935</v>
      </c>
      <c r="AF28" s="19">
        <v>63.191160283584935</v>
      </c>
      <c r="AG28" s="19">
        <v>63.191160283584935</v>
      </c>
      <c r="AH28" s="19">
        <v>63.191160283584935</v>
      </c>
      <c r="AI28" s="19">
        <v>63.191160283584935</v>
      </c>
      <c r="AJ28" s="19">
        <v>63.191160283584935</v>
      </c>
      <c r="AK28" s="19">
        <v>63.191160283584935</v>
      </c>
      <c r="AL28" s="19">
        <v>63.191160283584935</v>
      </c>
      <c r="AM28" s="19">
        <v>63.191160283584935</v>
      </c>
      <c r="AN28" s="19">
        <v>63.191160283584935</v>
      </c>
      <c r="AO28" s="19">
        <v>63.191160283584935</v>
      </c>
      <c r="AP28" s="19">
        <v>63.191160283584935</v>
      </c>
      <c r="AQ28" s="19">
        <v>63.191160283584935</v>
      </c>
      <c r="AR28" s="19">
        <v>63.191160283584935</v>
      </c>
      <c r="AS28" s="19">
        <v>63.191160283584935</v>
      </c>
      <c r="AT28" s="19">
        <v>63.191160283584935</v>
      </c>
      <c r="AU28" s="19">
        <v>63.191160283584935</v>
      </c>
      <c r="AV28" s="19">
        <v>63.191160283584935</v>
      </c>
      <c r="AW28" s="19">
        <v>63.191160283584935</v>
      </c>
      <c r="AX28" s="19">
        <v>63.191160283584935</v>
      </c>
      <c r="AY28" s="19">
        <v>63.191160283584935</v>
      </c>
      <c r="AZ28" s="19">
        <v>63.191160283584935</v>
      </c>
      <c r="BA28" s="19">
        <v>63.191160283584935</v>
      </c>
      <c r="BB28" s="19">
        <v>63.191160283584935</v>
      </c>
      <c r="BC28" s="19">
        <v>63.191160283584935</v>
      </c>
      <c r="BD28" s="19">
        <v>63.191160283584935</v>
      </c>
      <c r="BE28" s="19">
        <v>63.191160283584935</v>
      </c>
      <c r="BF28" s="19">
        <v>63.191160283584935</v>
      </c>
      <c r="BG28" s="19">
        <v>63.191160283584935</v>
      </c>
      <c r="BH28" s="19">
        <v>63.191160283584935</v>
      </c>
      <c r="BI28" s="19">
        <v>63.191160283584935</v>
      </c>
      <c r="BJ28" s="19">
        <v>63.191160283584935</v>
      </c>
      <c r="BK28" s="19">
        <v>63.191160283584935</v>
      </c>
      <c r="BL28" s="19">
        <v>63.191160283584935</v>
      </c>
      <c r="BM28" s="19">
        <v>63.191160283584935</v>
      </c>
      <c r="BN28" s="19">
        <v>63.191160283584935</v>
      </c>
      <c r="BO28" s="19">
        <v>63.191160283584935</v>
      </c>
      <c r="BP28" s="19">
        <v>63.191160283584935</v>
      </c>
      <c r="BQ28" s="19">
        <v>63.191160283584935</v>
      </c>
      <c r="BR28" s="19">
        <v>63.191160283584935</v>
      </c>
      <c r="BS28" s="19">
        <v>63.191160283584935</v>
      </c>
      <c r="BT28" s="19">
        <v>63.191160283584935</v>
      </c>
      <c r="BU28" s="19">
        <v>63.191160283584935</v>
      </c>
      <c r="BV28" s="19">
        <v>63.191160283584935</v>
      </c>
      <c r="BW28" s="19">
        <v>63.191160283584935</v>
      </c>
      <c r="BX28" s="19">
        <v>63.191160283584935</v>
      </c>
      <c r="BY28" s="19">
        <v>63.191160283584935</v>
      </c>
      <c r="BZ28" s="19">
        <v>63.191160283584935</v>
      </c>
      <c r="CA28" s="19">
        <v>63.191160283584935</v>
      </c>
      <c r="CB28" s="19">
        <v>63.191160283584935</v>
      </c>
      <c r="CC28" s="19">
        <v>63.191160283584935</v>
      </c>
      <c r="CD28" s="19">
        <v>63.191160283584935</v>
      </c>
      <c r="CE28" s="19">
        <v>63.191160283584935</v>
      </c>
      <c r="CF28" s="19">
        <v>63.191160283584935</v>
      </c>
      <c r="CG28" s="19">
        <v>63.191160283584935</v>
      </c>
      <c r="CH28" s="19">
        <v>63.191160283584935</v>
      </c>
      <c r="CI28" s="19">
        <v>63.191160283584935</v>
      </c>
      <c r="CJ28" s="19">
        <v>63.191160283584935</v>
      </c>
      <c r="CK28" s="19">
        <v>63.191160283584935</v>
      </c>
      <c r="CL28" s="19">
        <v>63.191160283584935</v>
      </c>
      <c r="CM28" s="19">
        <v>63.191160283584935</v>
      </c>
      <c r="CN28" s="19">
        <v>63.191160283584935</v>
      </c>
      <c r="CO28" s="19">
        <v>63.191160283584935</v>
      </c>
    </row>
    <row r="29" spans="1:93" s="6" customFormat="1" x14ac:dyDescent="0.2">
      <c r="A29" s="4" t="s">
        <v>67</v>
      </c>
      <c r="B29" s="5" t="s">
        <v>44</v>
      </c>
      <c r="C29" s="19">
        <v>44.053329429295488</v>
      </c>
      <c r="D29" s="19">
        <v>47.261895763056572</v>
      </c>
      <c r="E29" s="19">
        <v>50.47046209681767</v>
      </c>
      <c r="F29" s="19">
        <v>53.277957638858616</v>
      </c>
      <c r="G29" s="19">
        <v>56.4865239726197</v>
      </c>
      <c r="H29" s="19">
        <v>59.695090306380791</v>
      </c>
      <c r="I29" s="19">
        <v>62.903656640141875</v>
      </c>
      <c r="J29" s="19">
        <v>62.903656640141875</v>
      </c>
      <c r="K29" s="19">
        <v>62.903656640141875</v>
      </c>
      <c r="L29" s="19">
        <v>62.903656640141875</v>
      </c>
      <c r="M29" s="19">
        <v>62.903656640141875</v>
      </c>
      <c r="N29" s="19">
        <v>62.903656640141875</v>
      </c>
      <c r="O29" s="19">
        <v>62.903656640141875</v>
      </c>
      <c r="P29" s="19">
        <v>62.903656640141875</v>
      </c>
      <c r="Q29" s="19">
        <v>62.903656640141875</v>
      </c>
      <c r="R29" s="19">
        <v>62.903656640141875</v>
      </c>
      <c r="S29" s="19">
        <v>62.903656640141875</v>
      </c>
      <c r="T29" s="19">
        <v>62.903656640141875</v>
      </c>
      <c r="U29" s="19">
        <v>62.903656640141875</v>
      </c>
      <c r="V29" s="19">
        <v>62.903656640141875</v>
      </c>
      <c r="W29" s="26">
        <v>62.903656640141875</v>
      </c>
      <c r="X29" s="19">
        <v>62.903656640141875</v>
      </c>
      <c r="Y29" s="19">
        <v>62.903656640141875</v>
      </c>
      <c r="Z29" s="19">
        <v>62.903656640141875</v>
      </c>
      <c r="AA29" s="19">
        <v>62.903656640141875</v>
      </c>
      <c r="AB29" s="19">
        <v>62.903656640141875</v>
      </c>
      <c r="AC29" s="19">
        <v>62.903656640141875</v>
      </c>
      <c r="AD29" s="19">
        <v>62.903656640141875</v>
      </c>
      <c r="AE29" s="19">
        <v>62.903656640141875</v>
      </c>
      <c r="AF29" s="19">
        <v>62.903656640141875</v>
      </c>
      <c r="AG29" s="19">
        <v>62.903656640141875</v>
      </c>
      <c r="AH29" s="19">
        <v>62.903656640141875</v>
      </c>
      <c r="AI29" s="19">
        <v>62.903656640141875</v>
      </c>
      <c r="AJ29" s="19">
        <v>62.903656640141875</v>
      </c>
      <c r="AK29" s="19">
        <v>62.903656640141875</v>
      </c>
      <c r="AL29" s="19">
        <v>62.903656640141875</v>
      </c>
      <c r="AM29" s="19">
        <v>62.903656640141875</v>
      </c>
      <c r="AN29" s="19">
        <v>62.903656640141875</v>
      </c>
      <c r="AO29" s="19">
        <v>62.903656640141875</v>
      </c>
      <c r="AP29" s="19">
        <v>62.903656640141875</v>
      </c>
      <c r="AQ29" s="19">
        <v>62.903656640141875</v>
      </c>
      <c r="AR29" s="19">
        <v>62.903656640141875</v>
      </c>
      <c r="AS29" s="19">
        <v>62.903656640141875</v>
      </c>
      <c r="AT29" s="19">
        <v>62.903656640141875</v>
      </c>
      <c r="AU29" s="19">
        <v>62.903656640141875</v>
      </c>
      <c r="AV29" s="19">
        <v>62.903656640141875</v>
      </c>
      <c r="AW29" s="19">
        <v>62.903656640141875</v>
      </c>
      <c r="AX29" s="19">
        <v>62.903656640141875</v>
      </c>
      <c r="AY29" s="19">
        <v>62.903656640141875</v>
      </c>
      <c r="AZ29" s="19">
        <v>62.903656640141875</v>
      </c>
      <c r="BA29" s="19">
        <v>62.903656640141875</v>
      </c>
      <c r="BB29" s="19">
        <v>62.903656640141875</v>
      </c>
      <c r="BC29" s="19">
        <v>62.903656640141875</v>
      </c>
      <c r="BD29" s="19">
        <v>62.903656640141875</v>
      </c>
      <c r="BE29" s="19">
        <v>62.903656640141875</v>
      </c>
      <c r="BF29" s="19">
        <v>62.903656640141875</v>
      </c>
      <c r="BG29" s="19">
        <v>62.903656640141875</v>
      </c>
      <c r="BH29" s="19">
        <v>62.903656640141875</v>
      </c>
      <c r="BI29" s="19">
        <v>62.903656640141875</v>
      </c>
      <c r="BJ29" s="19">
        <v>62.903656640141875</v>
      </c>
      <c r="BK29" s="19">
        <v>62.903656640141875</v>
      </c>
      <c r="BL29" s="19">
        <v>62.903656640141875</v>
      </c>
      <c r="BM29" s="19">
        <v>62.903656640141875</v>
      </c>
      <c r="BN29" s="19">
        <v>62.903656640141875</v>
      </c>
      <c r="BO29" s="19">
        <v>62.903656640141875</v>
      </c>
      <c r="BP29" s="19">
        <v>62.903656640141875</v>
      </c>
      <c r="BQ29" s="19">
        <v>62.903656640141875</v>
      </c>
      <c r="BR29" s="19">
        <v>62.903656640141875</v>
      </c>
      <c r="BS29" s="19">
        <v>62.903656640141875</v>
      </c>
      <c r="BT29" s="19">
        <v>62.903656640141875</v>
      </c>
      <c r="BU29" s="19">
        <v>62.903656640141875</v>
      </c>
      <c r="BV29" s="19">
        <v>62.903656640141875</v>
      </c>
      <c r="BW29" s="19">
        <v>62.903656640141875</v>
      </c>
      <c r="BX29" s="19">
        <v>62.903656640141875</v>
      </c>
      <c r="BY29" s="19">
        <v>62.903656640141875</v>
      </c>
      <c r="BZ29" s="19">
        <v>62.903656640141875</v>
      </c>
      <c r="CA29" s="19">
        <v>62.903656640141875</v>
      </c>
      <c r="CB29" s="19">
        <v>62.903656640141875</v>
      </c>
      <c r="CC29" s="19">
        <v>62.903656640141875</v>
      </c>
      <c r="CD29" s="19">
        <v>62.903656640141875</v>
      </c>
      <c r="CE29" s="19">
        <v>62.903656640141875</v>
      </c>
      <c r="CF29" s="19">
        <v>62.903656640141875</v>
      </c>
      <c r="CG29" s="19">
        <v>62.903656640141875</v>
      </c>
      <c r="CH29" s="19">
        <v>62.903656640141875</v>
      </c>
      <c r="CI29" s="19">
        <v>62.903656640141875</v>
      </c>
      <c r="CJ29" s="19">
        <v>62.903656640141875</v>
      </c>
      <c r="CK29" s="19">
        <v>62.903656640141875</v>
      </c>
      <c r="CL29" s="19">
        <v>62.903656640141875</v>
      </c>
      <c r="CM29" s="19">
        <v>62.903656640141875</v>
      </c>
      <c r="CN29" s="19">
        <v>62.903656640141875</v>
      </c>
      <c r="CO29" s="19">
        <v>62.903656640141875</v>
      </c>
    </row>
    <row r="30" spans="1:93" s="6" customFormat="1" x14ac:dyDescent="0.2">
      <c r="A30" s="4" t="s">
        <v>68</v>
      </c>
      <c r="B30" s="5" t="s">
        <v>44</v>
      </c>
      <c r="C30" s="19">
        <v>40.335427847031106</v>
      </c>
      <c r="D30" s="19">
        <v>43.54399418079219</v>
      </c>
      <c r="E30" s="19">
        <v>46.752560514553288</v>
      </c>
      <c r="F30" s="19">
        <v>49.560056056594235</v>
      </c>
      <c r="G30" s="19">
        <v>52.768622390355318</v>
      </c>
      <c r="H30" s="19">
        <v>55.977188724116409</v>
      </c>
      <c r="I30" s="19">
        <v>59.185755057877493</v>
      </c>
      <c r="J30" s="19">
        <v>59.185755057877493</v>
      </c>
      <c r="K30" s="19">
        <v>59.185755057877493</v>
      </c>
      <c r="L30" s="19">
        <v>59.185755057877493</v>
      </c>
      <c r="M30" s="19">
        <v>59.185755057877493</v>
      </c>
      <c r="N30" s="19">
        <v>59.185755057877493</v>
      </c>
      <c r="O30" s="19">
        <v>59.185755057877493</v>
      </c>
      <c r="P30" s="19">
        <v>59.185755057877493</v>
      </c>
      <c r="Q30" s="19">
        <v>59.185755057877493</v>
      </c>
      <c r="R30" s="19">
        <v>59.185755057877493</v>
      </c>
      <c r="S30" s="19">
        <v>59.185755057877493</v>
      </c>
      <c r="T30" s="19">
        <v>59.185755057877493</v>
      </c>
      <c r="U30" s="19">
        <v>59.185755057877493</v>
      </c>
      <c r="V30" s="19">
        <v>59.185755057877493</v>
      </c>
      <c r="W30" s="26">
        <v>59.185755057877493</v>
      </c>
      <c r="X30" s="19">
        <v>59.185755057877493</v>
      </c>
      <c r="Y30" s="19">
        <v>59.185755057877493</v>
      </c>
      <c r="Z30" s="19">
        <v>59.185755057877493</v>
      </c>
      <c r="AA30" s="19">
        <v>59.185755057877493</v>
      </c>
      <c r="AB30" s="19">
        <v>59.185755057877493</v>
      </c>
      <c r="AC30" s="19">
        <v>59.185755057877493</v>
      </c>
      <c r="AD30" s="19">
        <v>59.185755057877493</v>
      </c>
      <c r="AE30" s="19">
        <v>59.185755057877493</v>
      </c>
      <c r="AF30" s="19">
        <v>59.185755057877493</v>
      </c>
      <c r="AG30" s="19">
        <v>59.185755057877493</v>
      </c>
      <c r="AH30" s="19">
        <v>59.185755057877493</v>
      </c>
      <c r="AI30" s="19">
        <v>59.185755057877493</v>
      </c>
      <c r="AJ30" s="19">
        <v>59.185755057877493</v>
      </c>
      <c r="AK30" s="19">
        <v>59.185755057877493</v>
      </c>
      <c r="AL30" s="19">
        <v>59.185755057877493</v>
      </c>
      <c r="AM30" s="19">
        <v>59.185755057877493</v>
      </c>
      <c r="AN30" s="19">
        <v>59.185755057877493</v>
      </c>
      <c r="AO30" s="19">
        <v>59.185755057877493</v>
      </c>
      <c r="AP30" s="19">
        <v>59.185755057877493</v>
      </c>
      <c r="AQ30" s="19">
        <v>59.185755057877493</v>
      </c>
      <c r="AR30" s="19">
        <v>59.185755057877493</v>
      </c>
      <c r="AS30" s="19">
        <v>59.185755057877493</v>
      </c>
      <c r="AT30" s="19">
        <v>59.185755057877493</v>
      </c>
      <c r="AU30" s="19">
        <v>59.185755057877493</v>
      </c>
      <c r="AV30" s="19">
        <v>59.185755057877493</v>
      </c>
      <c r="AW30" s="19">
        <v>59.185755057877493</v>
      </c>
      <c r="AX30" s="19">
        <v>59.185755057877493</v>
      </c>
      <c r="AY30" s="19">
        <v>59.185755057877493</v>
      </c>
      <c r="AZ30" s="19">
        <v>59.185755057877493</v>
      </c>
      <c r="BA30" s="19">
        <v>59.185755057877493</v>
      </c>
      <c r="BB30" s="19">
        <v>59.185755057877493</v>
      </c>
      <c r="BC30" s="19">
        <v>59.185755057877493</v>
      </c>
      <c r="BD30" s="19">
        <v>59.185755057877493</v>
      </c>
      <c r="BE30" s="19">
        <v>59.185755057877493</v>
      </c>
      <c r="BF30" s="19">
        <v>59.185755057877493</v>
      </c>
      <c r="BG30" s="19">
        <v>59.185755057877493</v>
      </c>
      <c r="BH30" s="19">
        <v>59.185755057877493</v>
      </c>
      <c r="BI30" s="19">
        <v>59.185755057877493</v>
      </c>
      <c r="BJ30" s="19">
        <v>59.185755057877493</v>
      </c>
      <c r="BK30" s="19">
        <v>59.185755057877493</v>
      </c>
      <c r="BL30" s="19">
        <v>59.185755057877493</v>
      </c>
      <c r="BM30" s="19">
        <v>59.185755057877493</v>
      </c>
      <c r="BN30" s="19">
        <v>59.185755057877493</v>
      </c>
      <c r="BO30" s="19">
        <v>59.185755057877493</v>
      </c>
      <c r="BP30" s="19">
        <v>59.185755057877493</v>
      </c>
      <c r="BQ30" s="19">
        <v>59.185755057877493</v>
      </c>
      <c r="BR30" s="19">
        <v>59.185755057877493</v>
      </c>
      <c r="BS30" s="19">
        <v>59.185755057877493</v>
      </c>
      <c r="BT30" s="19">
        <v>59.185755057877493</v>
      </c>
      <c r="BU30" s="19">
        <v>59.185755057877493</v>
      </c>
      <c r="BV30" s="19">
        <v>59.185755057877493</v>
      </c>
      <c r="BW30" s="19">
        <v>59.185755057877493</v>
      </c>
      <c r="BX30" s="19">
        <v>59.185755057877493</v>
      </c>
      <c r="BY30" s="19">
        <v>59.185755057877493</v>
      </c>
      <c r="BZ30" s="19">
        <v>59.185755057877493</v>
      </c>
      <c r="CA30" s="19">
        <v>59.185755057877493</v>
      </c>
      <c r="CB30" s="19">
        <v>59.185755057877493</v>
      </c>
      <c r="CC30" s="19">
        <v>59.185755057877493</v>
      </c>
      <c r="CD30" s="19">
        <v>59.185755057877493</v>
      </c>
      <c r="CE30" s="19">
        <v>59.185755057877493</v>
      </c>
      <c r="CF30" s="19">
        <v>59.185755057877493</v>
      </c>
      <c r="CG30" s="19">
        <v>59.185755057877493</v>
      </c>
      <c r="CH30" s="19">
        <v>59.185755057877493</v>
      </c>
      <c r="CI30" s="19">
        <v>59.185755057877493</v>
      </c>
      <c r="CJ30" s="19">
        <v>59.185755057877493</v>
      </c>
      <c r="CK30" s="19">
        <v>59.185755057877493</v>
      </c>
      <c r="CL30" s="19">
        <v>59.185755057877493</v>
      </c>
      <c r="CM30" s="19">
        <v>59.185755057877493</v>
      </c>
      <c r="CN30" s="19">
        <v>59.185755057877493</v>
      </c>
      <c r="CO30" s="19">
        <v>59.185755057877493</v>
      </c>
    </row>
    <row r="31" spans="1:93" x14ac:dyDescent="0.2">
      <c r="C31" s="19"/>
      <c r="D31" s="19"/>
      <c r="E31" s="19"/>
      <c r="F31" s="19"/>
      <c r="G31" s="19"/>
      <c r="H31" s="19"/>
      <c r="I31" s="19"/>
      <c r="J31" s="19"/>
      <c r="K31" s="19"/>
      <c r="L31" s="19"/>
      <c r="M31" s="19"/>
      <c r="N31" s="19"/>
      <c r="O31" s="19"/>
      <c r="P31" s="19"/>
      <c r="Q31" s="19"/>
      <c r="R31" s="19"/>
      <c r="S31" s="19"/>
      <c r="T31" s="19"/>
      <c r="U31" s="19"/>
      <c r="V31" s="19"/>
      <c r="W31" s="26"/>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row>
    <row r="32" spans="1:93" x14ac:dyDescent="0.2">
      <c r="A32" s="4" t="s">
        <v>45</v>
      </c>
      <c r="B32" s="5" t="s">
        <v>44</v>
      </c>
      <c r="C32" s="19">
        <v>126.0533089848675</v>
      </c>
      <c r="D32" s="19">
        <v>132.30523270713866</v>
      </c>
      <c r="E32" s="19">
        <v>138.92696647175106</v>
      </c>
      <c r="F32" s="19">
        <v>144.30222314769685</v>
      </c>
      <c r="G32" s="19">
        <v>149.1905668970814</v>
      </c>
      <c r="H32" s="19">
        <v>153.21966070908846</v>
      </c>
      <c r="I32" s="19">
        <v>156.98916738389346</v>
      </c>
      <c r="J32" s="19">
        <v>156.96863896679608</v>
      </c>
      <c r="K32" s="19">
        <v>156.94812812440011</v>
      </c>
      <c r="L32" s="19">
        <v>156.92763484815325</v>
      </c>
      <c r="M32" s="19">
        <v>156.90715912950753</v>
      </c>
      <c r="N32" s="19">
        <v>156.88670095991915</v>
      </c>
      <c r="O32" s="19">
        <v>156.86626033084838</v>
      </c>
      <c r="P32" s="19">
        <v>156.84583723375971</v>
      </c>
      <c r="Q32" s="19">
        <v>156.82543166012178</v>
      </c>
      <c r="R32" s="19">
        <v>156.80504360140731</v>
      </c>
      <c r="S32" s="19">
        <v>156.78467304909327</v>
      </c>
      <c r="T32" s="19">
        <v>156.76431999466072</v>
      </c>
      <c r="U32" s="19">
        <v>156.74398442959489</v>
      </c>
      <c r="V32" s="19">
        <v>156.72366634538506</v>
      </c>
      <c r="W32" s="26">
        <v>156.70336573352489</v>
      </c>
      <c r="X32" s="19">
        <v>156.66749499137413</v>
      </c>
      <c r="Y32" s="19">
        <v>156.63164170457236</v>
      </c>
      <c r="Z32" s="19">
        <v>156.59580586462545</v>
      </c>
      <c r="AA32" s="19">
        <v>156.55998746304348</v>
      </c>
      <c r="AB32" s="19">
        <v>156.52418649134063</v>
      </c>
      <c r="AC32" s="19">
        <v>156.52418649134063</v>
      </c>
      <c r="AD32" s="19">
        <v>156.52418649134063</v>
      </c>
      <c r="AE32" s="19">
        <v>156.52418649134063</v>
      </c>
      <c r="AF32" s="19">
        <v>156.52418649134063</v>
      </c>
      <c r="AG32" s="19">
        <v>156.52418649134063</v>
      </c>
      <c r="AH32" s="19">
        <v>156.52418649134063</v>
      </c>
      <c r="AI32" s="19">
        <v>156.52418649134063</v>
      </c>
      <c r="AJ32" s="19">
        <v>156.52418649134063</v>
      </c>
      <c r="AK32" s="19">
        <v>156.52418649134063</v>
      </c>
      <c r="AL32" s="19">
        <v>156.52418649134063</v>
      </c>
      <c r="AM32" s="19">
        <v>156.52418649134063</v>
      </c>
      <c r="AN32" s="19">
        <v>156.52418649134063</v>
      </c>
      <c r="AO32" s="19">
        <v>156.52418649134063</v>
      </c>
      <c r="AP32" s="19">
        <v>156.52418649134063</v>
      </c>
      <c r="AQ32" s="19">
        <v>156.52418649134063</v>
      </c>
      <c r="AR32" s="19">
        <v>156.52418649134063</v>
      </c>
      <c r="AS32" s="19">
        <v>156.52418649134063</v>
      </c>
      <c r="AT32" s="19">
        <v>156.52418649134063</v>
      </c>
      <c r="AU32" s="19">
        <v>156.52418649134063</v>
      </c>
      <c r="AV32" s="19">
        <v>156.52418649134063</v>
      </c>
      <c r="AW32" s="19">
        <v>156.52418649134063</v>
      </c>
      <c r="AX32" s="19">
        <v>156.52418649134063</v>
      </c>
      <c r="AY32" s="19">
        <v>156.52418649134063</v>
      </c>
      <c r="AZ32" s="19">
        <v>156.52418649134063</v>
      </c>
      <c r="BA32" s="19">
        <v>156.52418649134063</v>
      </c>
      <c r="BB32" s="19">
        <v>156.52418649134063</v>
      </c>
      <c r="BC32" s="19">
        <v>156.52418649134063</v>
      </c>
      <c r="BD32" s="19">
        <v>156.52418649134063</v>
      </c>
      <c r="BE32" s="19">
        <v>156.52418649134063</v>
      </c>
      <c r="BF32" s="19">
        <v>156.52418649134063</v>
      </c>
      <c r="BG32" s="19">
        <v>156.52418649134063</v>
      </c>
      <c r="BH32" s="19">
        <v>156.52418649134063</v>
      </c>
      <c r="BI32" s="19">
        <v>156.52418649134063</v>
      </c>
      <c r="BJ32" s="19">
        <v>156.52418649134063</v>
      </c>
      <c r="BK32" s="19">
        <v>156.52418649134063</v>
      </c>
      <c r="BL32" s="19">
        <v>156.52418649134063</v>
      </c>
      <c r="BM32" s="19">
        <v>156.52418649134063</v>
      </c>
      <c r="BN32" s="19">
        <v>156.52418649134063</v>
      </c>
      <c r="BO32" s="19">
        <v>156.52418649134063</v>
      </c>
      <c r="BP32" s="19">
        <v>156.52418649134063</v>
      </c>
      <c r="BQ32" s="19">
        <v>156.52418649134063</v>
      </c>
      <c r="BR32" s="19">
        <v>156.52418649134063</v>
      </c>
      <c r="BS32" s="19">
        <v>156.52418649134063</v>
      </c>
      <c r="BT32" s="19">
        <v>156.52418649134063</v>
      </c>
      <c r="BU32" s="19">
        <v>156.52418649134063</v>
      </c>
      <c r="BV32" s="19">
        <v>156.52418649134063</v>
      </c>
      <c r="BW32" s="19">
        <v>156.52418649134063</v>
      </c>
      <c r="BX32" s="19">
        <v>156.52418649134063</v>
      </c>
      <c r="BY32" s="19">
        <v>156.52418649134063</v>
      </c>
      <c r="BZ32" s="19">
        <v>156.52418649134063</v>
      </c>
      <c r="CA32" s="19">
        <v>156.52418649134063</v>
      </c>
      <c r="CB32" s="19">
        <v>156.52418649134063</v>
      </c>
      <c r="CC32" s="19">
        <v>156.52418649134063</v>
      </c>
      <c r="CD32" s="19">
        <v>156.52418649134063</v>
      </c>
      <c r="CE32" s="19">
        <v>156.52418649134063</v>
      </c>
      <c r="CF32" s="19">
        <v>156.52418649134063</v>
      </c>
      <c r="CG32" s="19">
        <v>156.52418649134063</v>
      </c>
      <c r="CH32" s="19">
        <v>156.52418649134063</v>
      </c>
      <c r="CI32" s="19">
        <v>156.52418649134063</v>
      </c>
      <c r="CJ32" s="19">
        <v>156.52418649134063</v>
      </c>
      <c r="CK32" s="19">
        <v>156.52418649134063</v>
      </c>
      <c r="CL32" s="19">
        <v>156.52418649134063</v>
      </c>
      <c r="CM32" s="19">
        <v>156.52418649134063</v>
      </c>
      <c r="CN32" s="19">
        <v>156.52418649134063</v>
      </c>
      <c r="CO32" s="19">
        <v>156.52418649134063</v>
      </c>
    </row>
    <row r="33" spans="1:93" x14ac:dyDescent="0.2">
      <c r="A33" s="4" t="s">
        <v>46</v>
      </c>
      <c r="B33" s="5" t="s">
        <v>44</v>
      </c>
      <c r="C33" s="19">
        <v>132.80133091273731</v>
      </c>
      <c r="D33" s="19">
        <v>139.58089616772321</v>
      </c>
      <c r="E33" s="19">
        <v>146.73030210680602</v>
      </c>
      <c r="F33" s="19">
        <v>152.63306674798602</v>
      </c>
      <c r="G33" s="19">
        <v>158.04864148457102</v>
      </c>
      <c r="H33" s="19">
        <v>162.60422012869702</v>
      </c>
      <c r="I33" s="19">
        <v>166.89996415703902</v>
      </c>
      <c r="J33" s="19">
        <v>166.86324839611302</v>
      </c>
      <c r="K33" s="19">
        <v>166.82794477983805</v>
      </c>
      <c r="L33" s="19">
        <v>166.79122901891202</v>
      </c>
      <c r="M33" s="19">
        <v>166.75592540263705</v>
      </c>
      <c r="N33" s="19">
        <v>166.71920964171105</v>
      </c>
      <c r="O33" s="19">
        <v>166.68390602543604</v>
      </c>
      <c r="P33" s="19">
        <v>166.64719026451002</v>
      </c>
      <c r="Q33" s="19">
        <v>166.61188664823501</v>
      </c>
      <c r="R33" s="19">
        <v>166.57517088730901</v>
      </c>
      <c r="S33" s="19">
        <v>166.57517088730901</v>
      </c>
      <c r="T33" s="19">
        <v>166.57517088730901</v>
      </c>
      <c r="U33" s="19">
        <v>166.57517088730901</v>
      </c>
      <c r="V33" s="19">
        <v>166.57517088730901</v>
      </c>
      <c r="W33" s="26">
        <v>166.57517088730901</v>
      </c>
      <c r="X33" s="19">
        <v>166.57517088730901</v>
      </c>
      <c r="Y33" s="19">
        <v>166.57517088730901</v>
      </c>
      <c r="Z33" s="19">
        <v>166.57517088730901</v>
      </c>
      <c r="AA33" s="19">
        <v>166.57517088730901</v>
      </c>
      <c r="AB33" s="19">
        <v>166.57517088730901</v>
      </c>
      <c r="AC33" s="19">
        <v>166.57517088730901</v>
      </c>
      <c r="AD33" s="19">
        <v>166.57517088730901</v>
      </c>
      <c r="AE33" s="19">
        <v>166.57517088730901</v>
      </c>
      <c r="AF33" s="19">
        <v>166.57517088730901</v>
      </c>
      <c r="AG33" s="19">
        <v>166.57517088730901</v>
      </c>
      <c r="AH33" s="19">
        <v>166.57517088730901</v>
      </c>
      <c r="AI33" s="19">
        <v>166.57517088730901</v>
      </c>
      <c r="AJ33" s="19">
        <v>166.57517088730901</v>
      </c>
      <c r="AK33" s="19">
        <v>166.57517088730901</v>
      </c>
      <c r="AL33" s="19">
        <v>166.57517088730901</v>
      </c>
      <c r="AM33" s="19">
        <v>166.57517088730901</v>
      </c>
      <c r="AN33" s="19">
        <v>166.57517088730901</v>
      </c>
      <c r="AO33" s="19">
        <v>166.57517088730901</v>
      </c>
      <c r="AP33" s="19">
        <v>166.57517088730901</v>
      </c>
      <c r="AQ33" s="19">
        <v>166.57517088730901</v>
      </c>
      <c r="AR33" s="19">
        <v>166.57517088730901</v>
      </c>
      <c r="AS33" s="19">
        <v>166.57517088730901</v>
      </c>
      <c r="AT33" s="19">
        <v>166.57517088730901</v>
      </c>
      <c r="AU33" s="19">
        <v>166.57517088730901</v>
      </c>
      <c r="AV33" s="19">
        <v>166.57517088730901</v>
      </c>
      <c r="AW33" s="19">
        <v>166.57517088730901</v>
      </c>
      <c r="AX33" s="19">
        <v>166.57517088730901</v>
      </c>
      <c r="AY33" s="19">
        <v>166.57517088730901</v>
      </c>
      <c r="AZ33" s="19">
        <v>166.57517088730901</v>
      </c>
      <c r="BA33" s="19">
        <v>166.57517088730901</v>
      </c>
      <c r="BB33" s="19">
        <v>166.57517088730901</v>
      </c>
      <c r="BC33" s="19">
        <v>166.57517088730901</v>
      </c>
      <c r="BD33" s="19">
        <v>166.57517088730901</v>
      </c>
      <c r="BE33" s="19">
        <v>166.57517088730901</v>
      </c>
      <c r="BF33" s="19">
        <v>166.57517088730901</v>
      </c>
      <c r="BG33" s="19">
        <v>166.57517088730901</v>
      </c>
      <c r="BH33" s="19">
        <v>166.57517088730901</v>
      </c>
      <c r="BI33" s="19">
        <v>166.57517088730901</v>
      </c>
      <c r="BJ33" s="19">
        <v>166.57517088730901</v>
      </c>
      <c r="BK33" s="19">
        <v>166.57517088730901</v>
      </c>
      <c r="BL33" s="19">
        <v>166.57517088730901</v>
      </c>
      <c r="BM33" s="19">
        <v>166.57517088730901</v>
      </c>
      <c r="BN33" s="19">
        <v>166.57517088730901</v>
      </c>
      <c r="BO33" s="19">
        <v>166.57517088730901</v>
      </c>
      <c r="BP33" s="19">
        <v>166.57517088730901</v>
      </c>
      <c r="BQ33" s="19">
        <v>166.57517088730901</v>
      </c>
      <c r="BR33" s="19">
        <v>166.57517088730901</v>
      </c>
      <c r="BS33" s="19">
        <v>166.57517088730901</v>
      </c>
      <c r="BT33" s="19">
        <v>166.57517088730901</v>
      </c>
      <c r="BU33" s="19">
        <v>166.57517088730901</v>
      </c>
      <c r="BV33" s="19">
        <v>166.57517088730901</v>
      </c>
      <c r="BW33" s="19">
        <v>166.57517088730901</v>
      </c>
      <c r="BX33" s="19">
        <v>166.57517088730901</v>
      </c>
      <c r="BY33" s="19">
        <v>166.57517088730901</v>
      </c>
      <c r="BZ33" s="19">
        <v>166.57517088730901</v>
      </c>
      <c r="CA33" s="19">
        <v>166.57517088730901</v>
      </c>
      <c r="CB33" s="19">
        <v>166.57517088730901</v>
      </c>
      <c r="CC33" s="19">
        <v>166.57517088730901</v>
      </c>
      <c r="CD33" s="19">
        <v>166.57517088730901</v>
      </c>
      <c r="CE33" s="19">
        <v>166.57517088730901</v>
      </c>
      <c r="CF33" s="19">
        <v>166.57517088730901</v>
      </c>
      <c r="CG33" s="19">
        <v>166.57517088730901</v>
      </c>
      <c r="CH33" s="19">
        <v>166.57517088730901</v>
      </c>
      <c r="CI33" s="19">
        <v>166.57517088730901</v>
      </c>
      <c r="CJ33" s="19">
        <v>166.57517088730901</v>
      </c>
      <c r="CK33" s="19">
        <v>166.57517088730901</v>
      </c>
      <c r="CL33" s="19">
        <v>166.57517088730901</v>
      </c>
      <c r="CM33" s="19">
        <v>166.57517088730901</v>
      </c>
      <c r="CN33" s="19">
        <v>166.57517088730901</v>
      </c>
      <c r="CO33" s="19">
        <v>166.57517088730901</v>
      </c>
    </row>
    <row r="34" spans="1:93" s="6" customFormat="1" x14ac:dyDescent="0.2">
      <c r="A34" s="4" t="s">
        <v>47</v>
      </c>
      <c r="B34" s="5" t="s">
        <v>44</v>
      </c>
      <c r="C34" s="19">
        <v>49.071529686768088</v>
      </c>
      <c r="D34" s="19">
        <v>52.308969875594023</v>
      </c>
      <c r="E34" s="19">
        <v>55.546513819079905</v>
      </c>
      <c r="F34" s="19">
        <v>58.784161517225677</v>
      </c>
      <c r="G34" s="19">
        <v>62.021912970031366</v>
      </c>
      <c r="H34" s="19">
        <v>65.259768177496966</v>
      </c>
      <c r="I34" s="19">
        <v>68.497727139622469</v>
      </c>
      <c r="J34" s="19">
        <v>68.510109356930954</v>
      </c>
      <c r="K34" s="19">
        <v>68.522491574239453</v>
      </c>
      <c r="L34" s="19">
        <v>68.534873791547923</v>
      </c>
      <c r="M34" s="19">
        <v>68.547256008856422</v>
      </c>
      <c r="N34" s="19">
        <v>68.559638226164893</v>
      </c>
      <c r="O34" s="19">
        <v>68.572020443473377</v>
      </c>
      <c r="P34" s="19">
        <v>68.584402660781848</v>
      </c>
      <c r="Q34" s="19">
        <v>68.596784878090332</v>
      </c>
      <c r="R34" s="19">
        <v>68.609167095398817</v>
      </c>
      <c r="S34" s="19">
        <v>68.621549312707288</v>
      </c>
      <c r="T34" s="19">
        <v>68.633931530015772</v>
      </c>
      <c r="U34" s="19">
        <v>68.646313747324257</v>
      </c>
      <c r="V34" s="19">
        <v>68.658695964632741</v>
      </c>
      <c r="W34" s="26">
        <v>68.671078181941226</v>
      </c>
      <c r="X34" s="26">
        <v>68.671078181941226</v>
      </c>
      <c r="Y34" s="26">
        <v>68.671078181941226</v>
      </c>
      <c r="Z34" s="26">
        <v>68.671078181941226</v>
      </c>
      <c r="AA34" s="26">
        <v>68.671078181941226</v>
      </c>
      <c r="AB34" s="19">
        <v>68.671078181941226</v>
      </c>
      <c r="AC34" s="19">
        <v>68.671078181941226</v>
      </c>
      <c r="AD34" s="19">
        <v>68.671078181941226</v>
      </c>
      <c r="AE34" s="19">
        <v>68.671078181941226</v>
      </c>
      <c r="AF34" s="19">
        <v>68.671078181941226</v>
      </c>
      <c r="AG34" s="19">
        <v>68.671078181941226</v>
      </c>
      <c r="AH34" s="19">
        <v>68.671078181941226</v>
      </c>
      <c r="AI34" s="19">
        <v>68.671078181941226</v>
      </c>
      <c r="AJ34" s="19">
        <v>68.671078181941226</v>
      </c>
      <c r="AK34" s="19">
        <v>68.671078181941226</v>
      </c>
      <c r="AL34" s="19">
        <v>68.671078181941226</v>
      </c>
      <c r="AM34" s="19">
        <v>68.671078181941226</v>
      </c>
      <c r="AN34" s="19">
        <v>68.671078181941226</v>
      </c>
      <c r="AO34" s="19">
        <v>68.671078181941226</v>
      </c>
      <c r="AP34" s="19">
        <v>68.671078181941226</v>
      </c>
      <c r="AQ34" s="19">
        <v>68.671078181941226</v>
      </c>
      <c r="AR34" s="19">
        <v>68.671078181941226</v>
      </c>
      <c r="AS34" s="19">
        <v>68.671078181941226</v>
      </c>
      <c r="AT34" s="19">
        <v>68.671078181941226</v>
      </c>
      <c r="AU34" s="19">
        <v>68.671078181941226</v>
      </c>
      <c r="AV34" s="19">
        <v>68.671078181941226</v>
      </c>
      <c r="AW34" s="19">
        <v>68.671078181941226</v>
      </c>
      <c r="AX34" s="19">
        <v>68.671078181941226</v>
      </c>
      <c r="AY34" s="19">
        <v>68.671078181941226</v>
      </c>
      <c r="AZ34" s="19">
        <v>68.671078181941226</v>
      </c>
      <c r="BA34" s="19">
        <v>68.671078181941226</v>
      </c>
      <c r="BB34" s="19">
        <v>68.671078181941226</v>
      </c>
      <c r="BC34" s="19">
        <v>68.671078181941226</v>
      </c>
      <c r="BD34" s="19">
        <v>68.671078181941226</v>
      </c>
      <c r="BE34" s="19">
        <v>68.671078181941226</v>
      </c>
      <c r="BF34" s="19">
        <v>68.671078181941226</v>
      </c>
      <c r="BG34" s="19">
        <v>68.671078181941226</v>
      </c>
      <c r="BH34" s="19">
        <v>68.671078181941226</v>
      </c>
      <c r="BI34" s="19">
        <v>68.671078181941226</v>
      </c>
      <c r="BJ34" s="19">
        <v>68.671078181941226</v>
      </c>
      <c r="BK34" s="19">
        <v>68.671078181941226</v>
      </c>
      <c r="BL34" s="19">
        <v>68.671078181941226</v>
      </c>
      <c r="BM34" s="19">
        <v>68.671078181941226</v>
      </c>
      <c r="BN34" s="19">
        <v>68.671078181941226</v>
      </c>
      <c r="BO34" s="19">
        <v>68.671078181941226</v>
      </c>
      <c r="BP34" s="19">
        <v>68.671078181941226</v>
      </c>
      <c r="BQ34" s="19">
        <v>68.671078181941226</v>
      </c>
      <c r="BR34" s="19">
        <v>68.671078181941226</v>
      </c>
      <c r="BS34" s="19">
        <v>68.671078181941226</v>
      </c>
      <c r="BT34" s="19">
        <v>68.671078181941226</v>
      </c>
      <c r="BU34" s="19">
        <v>68.671078181941226</v>
      </c>
      <c r="BV34" s="19">
        <v>68.671078181941226</v>
      </c>
      <c r="BW34" s="19">
        <v>68.671078181941226</v>
      </c>
      <c r="BX34" s="19">
        <v>68.671078181941226</v>
      </c>
      <c r="BY34" s="19">
        <v>68.671078181941226</v>
      </c>
      <c r="BZ34" s="19">
        <v>68.671078181941226</v>
      </c>
      <c r="CA34" s="19">
        <v>68.671078181941226</v>
      </c>
      <c r="CB34" s="19">
        <v>68.671078181941226</v>
      </c>
      <c r="CC34" s="19">
        <v>68.671078181941226</v>
      </c>
      <c r="CD34" s="19">
        <v>68.671078181941226</v>
      </c>
      <c r="CE34" s="19">
        <v>68.671078181941226</v>
      </c>
      <c r="CF34" s="19">
        <v>68.671078181941226</v>
      </c>
      <c r="CG34" s="19">
        <v>68.671078181941226</v>
      </c>
      <c r="CH34" s="19">
        <v>68.671078181941226</v>
      </c>
      <c r="CI34" s="19">
        <v>68.671078181941226</v>
      </c>
      <c r="CJ34" s="19">
        <v>68.671078181941226</v>
      </c>
      <c r="CK34" s="19">
        <v>68.671078181941226</v>
      </c>
      <c r="CL34" s="19">
        <v>68.671078181941226</v>
      </c>
      <c r="CM34" s="19">
        <v>68.671078181941226</v>
      </c>
      <c r="CN34" s="19">
        <v>68.671078181941226</v>
      </c>
      <c r="CO34" s="19">
        <v>68.671078181941226</v>
      </c>
    </row>
    <row r="35" spans="1:93" s="6" customFormat="1" x14ac:dyDescent="0.2">
      <c r="A35" s="4" t="s">
        <v>48</v>
      </c>
      <c r="B35" s="5" t="s">
        <v>44</v>
      </c>
      <c r="C35" s="19">
        <v>53.32726284256217</v>
      </c>
      <c r="D35" s="19">
        <v>56.986830143035682</v>
      </c>
      <c r="E35" s="19">
        <v>60.64639744350918</v>
      </c>
      <c r="F35" s="19">
        <v>64.305964743982685</v>
      </c>
      <c r="G35" s="19">
        <v>67.965532044456182</v>
      </c>
      <c r="H35" s="19">
        <v>71.62509934492968</v>
      </c>
      <c r="I35" s="19">
        <v>75.284666645403163</v>
      </c>
      <c r="J35" s="19">
        <v>75.284666645403163</v>
      </c>
      <c r="K35" s="19">
        <v>75.284666645403163</v>
      </c>
      <c r="L35" s="19">
        <v>75.284666645403163</v>
      </c>
      <c r="M35" s="19">
        <v>75.284666645403163</v>
      </c>
      <c r="N35" s="19">
        <v>75.284666645403163</v>
      </c>
      <c r="O35" s="19">
        <v>75.284666645403163</v>
      </c>
      <c r="P35" s="19">
        <v>75.284666645403163</v>
      </c>
      <c r="Q35" s="19">
        <v>75.284666645403163</v>
      </c>
      <c r="R35" s="19">
        <v>75.284666645403163</v>
      </c>
      <c r="S35" s="19">
        <v>75.284666645403163</v>
      </c>
      <c r="T35" s="19">
        <v>75.284666645403163</v>
      </c>
      <c r="U35" s="19">
        <v>75.284666645403163</v>
      </c>
      <c r="V35" s="19">
        <v>75.284666645403163</v>
      </c>
      <c r="W35" s="26">
        <v>75.284666645403163</v>
      </c>
      <c r="X35" s="26">
        <v>75.284666645403163</v>
      </c>
      <c r="Y35" s="26">
        <v>75.284666645403163</v>
      </c>
      <c r="Z35" s="26">
        <v>75.284666645403163</v>
      </c>
      <c r="AA35" s="26">
        <v>75.284666645403163</v>
      </c>
      <c r="AB35" s="19">
        <v>75.284666645403163</v>
      </c>
      <c r="AC35" s="19">
        <v>75.284666645403163</v>
      </c>
      <c r="AD35" s="19">
        <v>75.284666645403163</v>
      </c>
      <c r="AE35" s="19">
        <v>75.284666645403163</v>
      </c>
      <c r="AF35" s="19">
        <v>75.284666645403163</v>
      </c>
      <c r="AG35" s="19">
        <v>75.284666645403163</v>
      </c>
      <c r="AH35" s="19">
        <v>75.284666645403163</v>
      </c>
      <c r="AI35" s="19">
        <v>75.284666645403163</v>
      </c>
      <c r="AJ35" s="19">
        <v>75.284666645403163</v>
      </c>
      <c r="AK35" s="19">
        <v>75.284666645403163</v>
      </c>
      <c r="AL35" s="19">
        <v>75.284666645403163</v>
      </c>
      <c r="AM35" s="19">
        <v>75.284666645403163</v>
      </c>
      <c r="AN35" s="19">
        <v>75.284666645403163</v>
      </c>
      <c r="AO35" s="19">
        <v>75.284666645403163</v>
      </c>
      <c r="AP35" s="19">
        <v>75.284666645403163</v>
      </c>
      <c r="AQ35" s="19">
        <v>75.284666645403163</v>
      </c>
      <c r="AR35" s="19">
        <v>75.284666645403163</v>
      </c>
      <c r="AS35" s="19">
        <v>75.284666645403163</v>
      </c>
      <c r="AT35" s="19">
        <v>75.284666645403163</v>
      </c>
      <c r="AU35" s="19">
        <v>75.284666645403163</v>
      </c>
      <c r="AV35" s="19">
        <v>75.284666645403163</v>
      </c>
      <c r="AW35" s="19">
        <v>75.284666645403163</v>
      </c>
      <c r="AX35" s="19">
        <v>75.284666645403163</v>
      </c>
      <c r="AY35" s="19">
        <v>75.284666645403163</v>
      </c>
      <c r="AZ35" s="19">
        <v>75.284666645403163</v>
      </c>
      <c r="BA35" s="19">
        <v>75.284666645403163</v>
      </c>
      <c r="BB35" s="19">
        <v>75.284666645403163</v>
      </c>
      <c r="BC35" s="19">
        <v>75.284666645403163</v>
      </c>
      <c r="BD35" s="19">
        <v>75.284666645403163</v>
      </c>
      <c r="BE35" s="19">
        <v>75.284666645403163</v>
      </c>
      <c r="BF35" s="19">
        <v>75.284666645403163</v>
      </c>
      <c r="BG35" s="19">
        <v>75.284666645403163</v>
      </c>
      <c r="BH35" s="19">
        <v>75.284666645403163</v>
      </c>
      <c r="BI35" s="19">
        <v>75.284666645403163</v>
      </c>
      <c r="BJ35" s="19">
        <v>75.284666645403163</v>
      </c>
      <c r="BK35" s="19">
        <v>75.284666645403163</v>
      </c>
      <c r="BL35" s="19">
        <v>75.284666645403163</v>
      </c>
      <c r="BM35" s="19">
        <v>75.284666645403163</v>
      </c>
      <c r="BN35" s="19">
        <v>75.284666645403163</v>
      </c>
      <c r="BO35" s="19">
        <v>75.284666645403163</v>
      </c>
      <c r="BP35" s="19">
        <v>75.284666645403163</v>
      </c>
      <c r="BQ35" s="19">
        <v>75.284666645403163</v>
      </c>
      <c r="BR35" s="19">
        <v>75.284666645403163</v>
      </c>
      <c r="BS35" s="19">
        <v>75.284666645403163</v>
      </c>
      <c r="BT35" s="19">
        <v>75.284666645403163</v>
      </c>
      <c r="BU35" s="19">
        <v>75.284666645403163</v>
      </c>
      <c r="BV35" s="19">
        <v>75.284666645403163</v>
      </c>
      <c r="BW35" s="19">
        <v>75.284666645403163</v>
      </c>
      <c r="BX35" s="19">
        <v>75.284666645403163</v>
      </c>
      <c r="BY35" s="19">
        <v>75.284666645403163</v>
      </c>
      <c r="BZ35" s="19">
        <v>75.284666645403163</v>
      </c>
      <c r="CA35" s="19">
        <v>75.284666645403163</v>
      </c>
      <c r="CB35" s="19">
        <v>75.284666645403163</v>
      </c>
      <c r="CC35" s="19">
        <v>75.284666645403163</v>
      </c>
      <c r="CD35" s="19">
        <v>75.284666645403163</v>
      </c>
      <c r="CE35" s="19">
        <v>75.284666645403163</v>
      </c>
      <c r="CF35" s="19">
        <v>75.284666645403163</v>
      </c>
      <c r="CG35" s="19">
        <v>75.284666645403163</v>
      </c>
      <c r="CH35" s="19">
        <v>75.284666645403163</v>
      </c>
      <c r="CI35" s="19">
        <v>75.284666645403163</v>
      </c>
      <c r="CJ35" s="19">
        <v>75.284666645403163</v>
      </c>
      <c r="CK35" s="19">
        <v>75.284666645403163</v>
      </c>
      <c r="CL35" s="19">
        <v>75.284666645403163</v>
      </c>
      <c r="CM35" s="19">
        <v>75.284666645403163</v>
      </c>
      <c r="CN35" s="19">
        <v>75.284666645403163</v>
      </c>
      <c r="CO35" s="19">
        <v>75.284666645403163</v>
      </c>
    </row>
    <row r="36" spans="1:93" x14ac:dyDescent="0.2">
      <c r="C36" s="19"/>
      <c r="D36" s="19"/>
      <c r="E36" s="19"/>
      <c r="F36" s="19"/>
      <c r="G36" s="19"/>
      <c r="H36" s="19"/>
      <c r="I36" s="19"/>
      <c r="J36" s="19"/>
      <c r="K36" s="19"/>
      <c r="L36" s="19"/>
      <c r="M36" s="19"/>
      <c r="N36" s="19"/>
      <c r="O36" s="19"/>
      <c r="P36" s="19"/>
      <c r="Q36" s="19"/>
      <c r="R36" s="19"/>
      <c r="S36" s="19"/>
      <c r="T36" s="19"/>
      <c r="U36" s="19"/>
      <c r="V36" s="19"/>
      <c r="W36" s="26"/>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row>
    <row r="37" spans="1:93" s="27" customFormat="1" x14ac:dyDescent="0.2">
      <c r="A37" s="18" t="s">
        <v>49</v>
      </c>
      <c r="B37" s="30" t="s">
        <v>44</v>
      </c>
      <c r="C37" s="16">
        <v>44.524928989138793</v>
      </c>
      <c r="D37" s="16">
        <v>46.958480091376138</v>
      </c>
      <c r="E37" s="16">
        <v>51.047254035261901</v>
      </c>
      <c r="F37" s="16">
        <v>55.136027979147663</v>
      </c>
      <c r="G37" s="16">
        <v>59.224801923033432</v>
      </c>
      <c r="H37" s="16">
        <v>62.802479123933466</v>
      </c>
      <c r="I37" s="16">
        <v>66.891253067819235</v>
      </c>
      <c r="J37" s="16">
        <v>70.980027011704976</v>
      </c>
      <c r="K37" s="16">
        <v>75.068800955590746</v>
      </c>
      <c r="L37" s="16">
        <v>75.068800955590746</v>
      </c>
      <c r="M37" s="16">
        <v>75.068800955590746</v>
      </c>
      <c r="N37" s="16">
        <v>75.068800955590746</v>
      </c>
      <c r="O37" s="16">
        <v>75.068800955590746</v>
      </c>
      <c r="P37" s="16">
        <v>75.068800955590746</v>
      </c>
      <c r="Q37" s="16">
        <v>75.068800955590746</v>
      </c>
      <c r="R37" s="16">
        <v>75.068800955590746</v>
      </c>
      <c r="S37" s="16">
        <v>75.068800955590746</v>
      </c>
      <c r="T37" s="16">
        <v>75.068800955590746</v>
      </c>
      <c r="U37" s="16">
        <v>75.068800955590746</v>
      </c>
      <c r="V37" s="16">
        <v>75.068800955590746</v>
      </c>
      <c r="W37" s="37">
        <v>75.068800955590746</v>
      </c>
      <c r="X37" s="16">
        <v>75.068800955590746</v>
      </c>
      <c r="Y37" s="16">
        <v>75.068800955590746</v>
      </c>
      <c r="Z37" s="16">
        <v>75.068800955590746</v>
      </c>
      <c r="AA37" s="16">
        <v>75.068800955590746</v>
      </c>
      <c r="AB37" s="16">
        <v>75.068800955590746</v>
      </c>
      <c r="AC37" s="16">
        <v>75.068800955590746</v>
      </c>
      <c r="AD37" s="16">
        <v>75.068800955590746</v>
      </c>
      <c r="AE37" s="16">
        <v>75.068800955590746</v>
      </c>
      <c r="AF37" s="16">
        <v>75.068800955590746</v>
      </c>
      <c r="AG37" s="16">
        <v>75.068800955590746</v>
      </c>
      <c r="AH37" s="16">
        <v>75.068800955590746</v>
      </c>
      <c r="AI37" s="16">
        <v>75.068800955590746</v>
      </c>
      <c r="AJ37" s="16">
        <v>75.068800955590746</v>
      </c>
      <c r="AK37" s="16">
        <v>75.068800955590746</v>
      </c>
      <c r="AL37" s="16">
        <v>75.068800955590746</v>
      </c>
      <c r="AM37" s="16">
        <v>75.068800955590746</v>
      </c>
      <c r="AN37" s="16">
        <v>75.068800955590746</v>
      </c>
      <c r="AO37" s="16">
        <v>75.068800955590746</v>
      </c>
      <c r="AP37" s="16">
        <v>75.068800955590746</v>
      </c>
      <c r="AQ37" s="16">
        <v>75.068800955590746</v>
      </c>
      <c r="AR37" s="16">
        <v>75.068800955590746</v>
      </c>
      <c r="AS37" s="16">
        <v>75.068800955590746</v>
      </c>
      <c r="AT37" s="16">
        <v>75.068800955590746</v>
      </c>
      <c r="AU37" s="16">
        <v>75.068800955590746</v>
      </c>
      <c r="AV37" s="16">
        <v>75.068800955590746</v>
      </c>
      <c r="AW37" s="16">
        <v>75.068800955590746</v>
      </c>
      <c r="AX37" s="16">
        <v>75.068800955590746</v>
      </c>
      <c r="AY37" s="16">
        <v>75.068800955590746</v>
      </c>
      <c r="AZ37" s="16">
        <v>75.068800955590746</v>
      </c>
      <c r="BA37" s="16">
        <v>75.068800955590746</v>
      </c>
      <c r="BB37" s="31">
        <v>75.068800955590746</v>
      </c>
      <c r="BC37" s="31">
        <v>75.068800955590746</v>
      </c>
      <c r="BD37" s="31">
        <v>75.068800955590746</v>
      </c>
      <c r="BE37" s="31">
        <v>75.068800955590746</v>
      </c>
      <c r="BF37" s="31">
        <v>75.068800955590746</v>
      </c>
      <c r="BG37" s="31">
        <v>75.068800955590746</v>
      </c>
      <c r="BH37" s="31">
        <v>75.068800955590746</v>
      </c>
      <c r="BI37" s="31">
        <v>75.068800955590746</v>
      </c>
      <c r="BJ37" s="31">
        <v>75.068800955590746</v>
      </c>
      <c r="BK37" s="31">
        <v>75.068800955590746</v>
      </c>
      <c r="BL37" s="31">
        <v>75.068800955590746</v>
      </c>
      <c r="BM37" s="31">
        <v>75.068800955590746</v>
      </c>
      <c r="BN37" s="31">
        <v>75.068800955590746</v>
      </c>
      <c r="BO37" s="31">
        <v>75.068800955590746</v>
      </c>
      <c r="BP37" s="31">
        <v>75.068800955590746</v>
      </c>
      <c r="BQ37" s="31">
        <v>75.068800955590746</v>
      </c>
      <c r="BR37" s="31">
        <v>75.068800955590746</v>
      </c>
      <c r="BS37" s="31">
        <v>75.068800955590746</v>
      </c>
      <c r="BT37" s="31">
        <v>75.068800955590746</v>
      </c>
      <c r="BU37" s="31">
        <v>75.068800955590746</v>
      </c>
      <c r="BV37" s="31">
        <v>75.068800955590746</v>
      </c>
      <c r="BW37" s="31">
        <v>75.068800955590746</v>
      </c>
      <c r="BX37" s="31">
        <v>75.068800955590746</v>
      </c>
      <c r="BY37" s="31">
        <v>75.068800955590746</v>
      </c>
      <c r="BZ37" s="31">
        <v>75.068800955590746</v>
      </c>
      <c r="CA37" s="31">
        <v>75.068800955590746</v>
      </c>
      <c r="CB37" s="31">
        <v>75.068800955590746</v>
      </c>
      <c r="CC37" s="31">
        <v>75.068800955590746</v>
      </c>
      <c r="CD37" s="31">
        <v>75.068800955590746</v>
      </c>
      <c r="CE37" s="31">
        <v>75.068800955590746</v>
      </c>
      <c r="CF37" s="31">
        <v>75.068800955590746</v>
      </c>
      <c r="CG37" s="31">
        <v>75.068800955590746</v>
      </c>
      <c r="CH37" s="31">
        <v>75.068800955590746</v>
      </c>
      <c r="CI37" s="31">
        <v>75.068800955590746</v>
      </c>
      <c r="CJ37" s="31">
        <v>75.068800955590746</v>
      </c>
      <c r="CK37" s="31">
        <v>75.068800955590746</v>
      </c>
      <c r="CL37" s="31">
        <v>75.068800955590746</v>
      </c>
      <c r="CM37" s="31">
        <v>75.068800955590746</v>
      </c>
      <c r="CN37" s="31">
        <v>75.068800955590746</v>
      </c>
      <c r="CO37" s="31">
        <v>75.068800955590746</v>
      </c>
    </row>
    <row r="38" spans="1:93" s="32" customFormat="1" x14ac:dyDescent="0.2">
      <c r="A38" s="18" t="s">
        <v>50</v>
      </c>
      <c r="B38" s="30" t="s">
        <v>44</v>
      </c>
      <c r="C38" s="16">
        <v>43.820306666703615</v>
      </c>
      <c r="D38" s="16">
        <v>46.253857768940961</v>
      </c>
      <c r="E38" s="16">
        <v>50.342631712826723</v>
      </c>
      <c r="F38" s="16">
        <v>54.431405656712485</v>
      </c>
      <c r="G38" s="16">
        <v>58.520179600598254</v>
      </c>
      <c r="H38" s="16">
        <v>62.097856801498288</v>
      </c>
      <c r="I38" s="16">
        <v>66.186630745384065</v>
      </c>
      <c r="J38" s="16">
        <v>70.275404689269806</v>
      </c>
      <c r="K38" s="16">
        <v>74.364178633155575</v>
      </c>
      <c r="L38" s="16">
        <v>74.364178633155575</v>
      </c>
      <c r="M38" s="16">
        <v>74.364178633155575</v>
      </c>
      <c r="N38" s="16">
        <v>74.364178633155575</v>
      </c>
      <c r="O38" s="16">
        <v>74.364178633155575</v>
      </c>
      <c r="P38" s="16">
        <v>74.364178633155575</v>
      </c>
      <c r="Q38" s="16">
        <v>74.364178633155575</v>
      </c>
      <c r="R38" s="16">
        <v>74.364178633155575</v>
      </c>
      <c r="S38" s="16">
        <v>74.364178633155575</v>
      </c>
      <c r="T38" s="16">
        <v>74.364178633155575</v>
      </c>
      <c r="U38" s="16">
        <v>74.364178633155575</v>
      </c>
      <c r="V38" s="16">
        <v>74.364178633155575</v>
      </c>
      <c r="W38" s="37">
        <v>74.364178633155575</v>
      </c>
      <c r="X38" s="16">
        <v>74.364178633155575</v>
      </c>
      <c r="Y38" s="16">
        <v>74.364178633155575</v>
      </c>
      <c r="Z38" s="16">
        <v>74.364178633155575</v>
      </c>
      <c r="AA38" s="16">
        <v>74.364178633155575</v>
      </c>
      <c r="AB38" s="16">
        <v>74.364178633155575</v>
      </c>
      <c r="AC38" s="16">
        <v>74.364178633155575</v>
      </c>
      <c r="AD38" s="16">
        <v>74.364178633155575</v>
      </c>
      <c r="AE38" s="16">
        <v>74.364178633155575</v>
      </c>
      <c r="AF38" s="16">
        <v>74.364178633155575</v>
      </c>
      <c r="AG38" s="16">
        <v>74.364178633155575</v>
      </c>
      <c r="AH38" s="16">
        <v>74.364178633155575</v>
      </c>
      <c r="AI38" s="16">
        <v>74.364178633155575</v>
      </c>
      <c r="AJ38" s="16">
        <v>74.364178633155575</v>
      </c>
      <c r="AK38" s="16">
        <v>74.364178633155575</v>
      </c>
      <c r="AL38" s="16">
        <v>74.364178633155575</v>
      </c>
      <c r="AM38" s="16">
        <v>74.364178633155575</v>
      </c>
      <c r="AN38" s="16">
        <v>74.364178633155575</v>
      </c>
      <c r="AO38" s="16">
        <v>74.364178633155575</v>
      </c>
      <c r="AP38" s="16">
        <v>74.364178633155575</v>
      </c>
      <c r="AQ38" s="16">
        <v>74.364178633155575</v>
      </c>
      <c r="AR38" s="16">
        <v>74.364178633155575</v>
      </c>
      <c r="AS38" s="16">
        <v>74.364178633155575</v>
      </c>
      <c r="AT38" s="16">
        <v>74.364178633155575</v>
      </c>
      <c r="AU38" s="16">
        <v>74.364178633155575</v>
      </c>
      <c r="AV38" s="16">
        <v>74.364178633155575</v>
      </c>
      <c r="AW38" s="16">
        <v>74.364178633155575</v>
      </c>
      <c r="AX38" s="16">
        <v>74.364178633155575</v>
      </c>
      <c r="AY38" s="16">
        <v>74.364178633155575</v>
      </c>
      <c r="AZ38" s="16">
        <v>74.364178633155575</v>
      </c>
      <c r="BA38" s="16">
        <v>74.364178633155575</v>
      </c>
      <c r="BB38" s="17">
        <v>74.364178633155575</v>
      </c>
      <c r="BC38" s="17">
        <v>74.364178633155575</v>
      </c>
      <c r="BD38" s="17">
        <v>74.364178633155575</v>
      </c>
      <c r="BE38" s="17">
        <v>74.364178633155575</v>
      </c>
      <c r="BF38" s="17">
        <v>74.364178633155575</v>
      </c>
      <c r="BG38" s="17">
        <v>74.364178633155575</v>
      </c>
      <c r="BH38" s="17">
        <v>74.364178633155575</v>
      </c>
      <c r="BI38" s="17">
        <v>74.364178633155575</v>
      </c>
      <c r="BJ38" s="17">
        <v>74.364178633155575</v>
      </c>
      <c r="BK38" s="17">
        <v>74.364178633155575</v>
      </c>
      <c r="BL38" s="17">
        <v>74.364178633155575</v>
      </c>
      <c r="BM38" s="17">
        <v>74.364178633155575</v>
      </c>
      <c r="BN38" s="17">
        <v>74.364178633155575</v>
      </c>
      <c r="BO38" s="17">
        <v>74.364178633155575</v>
      </c>
      <c r="BP38" s="17">
        <v>74.364178633155575</v>
      </c>
      <c r="BQ38" s="17">
        <v>74.364178633155575</v>
      </c>
      <c r="BR38" s="17">
        <v>74.364178633155575</v>
      </c>
      <c r="BS38" s="17">
        <v>74.364178633155575</v>
      </c>
      <c r="BT38" s="17">
        <v>74.364178633155575</v>
      </c>
      <c r="BU38" s="17">
        <v>74.364178633155575</v>
      </c>
      <c r="BV38" s="17">
        <v>74.364178633155575</v>
      </c>
      <c r="BW38" s="17">
        <v>74.364178633155575</v>
      </c>
      <c r="BX38" s="17">
        <v>74.364178633155575</v>
      </c>
      <c r="BY38" s="17">
        <v>74.364178633155575</v>
      </c>
      <c r="BZ38" s="17">
        <v>74.364178633155575</v>
      </c>
      <c r="CA38" s="17">
        <v>74.364178633155575</v>
      </c>
      <c r="CB38" s="17">
        <v>74.364178633155575</v>
      </c>
      <c r="CC38" s="17">
        <v>74.364178633155575</v>
      </c>
      <c r="CD38" s="17">
        <v>74.364178633155575</v>
      </c>
      <c r="CE38" s="17">
        <v>74.364178633155575</v>
      </c>
      <c r="CF38" s="17">
        <v>74.364178633155575</v>
      </c>
      <c r="CG38" s="17">
        <v>74.364178633155575</v>
      </c>
      <c r="CH38" s="17">
        <v>74.364178633155575</v>
      </c>
      <c r="CI38" s="17">
        <v>74.364178633155575</v>
      </c>
      <c r="CJ38" s="17">
        <v>74.364178633155575</v>
      </c>
      <c r="CK38" s="17">
        <v>74.364178633155575</v>
      </c>
      <c r="CL38" s="17">
        <v>74.364178633155575</v>
      </c>
      <c r="CM38" s="17">
        <v>74.364178633155575</v>
      </c>
      <c r="CN38" s="17">
        <v>74.364178633155575</v>
      </c>
      <c r="CO38" s="17">
        <v>74.364178633155575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18"/>
  <sheetViews>
    <sheetView zoomScale="80" zoomScaleNormal="80" workbookViewId="0">
      <selection activeCell="A2" sqref="A2"/>
    </sheetView>
  </sheetViews>
  <sheetFormatPr defaultRowHeight="15" x14ac:dyDescent="0.2"/>
  <cols>
    <col min="1" max="1" width="128.42578125" style="41" customWidth="1"/>
    <col min="2" max="16384" width="9.140625" style="41"/>
  </cols>
  <sheetData>
    <row r="1" spans="1:6" x14ac:dyDescent="0.2">
      <c r="A1" s="40"/>
      <c r="B1" s="40"/>
      <c r="C1" s="40"/>
      <c r="D1" s="40"/>
      <c r="E1" s="40"/>
      <c r="F1" s="40"/>
    </row>
    <row r="2" spans="1:6" ht="304.5" customHeight="1" x14ac:dyDescent="0.2">
      <c r="A2" s="96" t="s">
        <v>382</v>
      </c>
      <c r="B2" s="40"/>
      <c r="C2" s="40"/>
      <c r="D2" s="40"/>
      <c r="E2" s="40"/>
      <c r="F2" s="40"/>
    </row>
    <row r="3" spans="1:6" x14ac:dyDescent="0.2">
      <c r="A3" s="40"/>
      <c r="B3" s="40"/>
      <c r="C3" s="40"/>
      <c r="D3" s="40"/>
      <c r="E3" s="40"/>
      <c r="F3" s="40"/>
    </row>
    <row r="4" spans="1:6" x14ac:dyDescent="0.2">
      <c r="A4" s="40"/>
      <c r="B4" s="40"/>
      <c r="C4" s="40"/>
      <c r="D4" s="40"/>
      <c r="E4" s="40"/>
      <c r="F4" s="40"/>
    </row>
    <row r="5" spans="1:6" x14ac:dyDescent="0.2">
      <c r="A5" s="40"/>
      <c r="B5" s="40"/>
      <c r="C5" s="40"/>
      <c r="D5" s="40"/>
      <c r="E5" s="40"/>
      <c r="F5" s="40"/>
    </row>
    <row r="6" spans="1:6" x14ac:dyDescent="0.2">
      <c r="A6" s="40"/>
      <c r="B6" s="40"/>
      <c r="C6" s="40"/>
      <c r="D6" s="40"/>
      <c r="E6" s="40"/>
      <c r="F6" s="40"/>
    </row>
    <row r="7" spans="1:6" x14ac:dyDescent="0.2">
      <c r="A7" s="40"/>
      <c r="B7" s="40"/>
      <c r="C7" s="40"/>
      <c r="D7" s="40"/>
      <c r="E7" s="40"/>
      <c r="F7" s="40"/>
    </row>
    <row r="8" spans="1:6" x14ac:dyDescent="0.2">
      <c r="A8" s="40"/>
      <c r="B8" s="40"/>
      <c r="C8" s="40"/>
      <c r="D8" s="40"/>
      <c r="E8" s="40"/>
      <c r="F8" s="40"/>
    </row>
    <row r="9" spans="1:6" x14ac:dyDescent="0.2">
      <c r="A9" s="40"/>
      <c r="B9" s="40"/>
      <c r="C9" s="40"/>
      <c r="D9" s="40"/>
      <c r="E9" s="40"/>
      <c r="F9" s="40"/>
    </row>
    <row r="10" spans="1:6" x14ac:dyDescent="0.2">
      <c r="A10" s="40"/>
      <c r="B10" s="40"/>
      <c r="C10" s="40"/>
      <c r="D10" s="40"/>
      <c r="E10" s="40"/>
      <c r="F10" s="40"/>
    </row>
    <row r="11" spans="1:6" x14ac:dyDescent="0.2">
      <c r="A11" s="40"/>
      <c r="B11" s="40"/>
      <c r="C11" s="40"/>
      <c r="D11" s="40"/>
      <c r="E11" s="40"/>
      <c r="F11" s="40"/>
    </row>
    <row r="12" spans="1:6" x14ac:dyDescent="0.2">
      <c r="A12" s="40"/>
      <c r="B12" s="40"/>
      <c r="C12" s="40"/>
      <c r="D12" s="40"/>
      <c r="E12" s="40"/>
      <c r="F12" s="40"/>
    </row>
    <row r="13" spans="1:6" x14ac:dyDescent="0.2">
      <c r="A13" s="40"/>
      <c r="B13" s="40"/>
      <c r="C13" s="40"/>
      <c r="D13" s="40"/>
      <c r="E13" s="40"/>
      <c r="F13" s="40"/>
    </row>
    <row r="14" spans="1:6" x14ac:dyDescent="0.2">
      <c r="A14" s="40"/>
      <c r="B14" s="40"/>
      <c r="C14" s="40"/>
      <c r="D14" s="40"/>
      <c r="E14" s="40"/>
      <c r="F14" s="40"/>
    </row>
    <row r="15" spans="1:6" x14ac:dyDescent="0.2">
      <c r="A15" s="40"/>
      <c r="B15" s="40"/>
      <c r="C15" s="40"/>
      <c r="D15" s="40"/>
      <c r="E15" s="40"/>
      <c r="F15" s="40"/>
    </row>
    <row r="16" spans="1:6" x14ac:dyDescent="0.2">
      <c r="A16" s="40"/>
      <c r="B16" s="40"/>
      <c r="C16" s="40"/>
      <c r="D16" s="40"/>
      <c r="E16" s="40"/>
      <c r="F16" s="40"/>
    </row>
    <row r="17" spans="1:6" x14ac:dyDescent="0.2">
      <c r="A17" s="40"/>
      <c r="B17" s="40"/>
      <c r="C17" s="40"/>
      <c r="D17" s="40"/>
      <c r="E17" s="40"/>
      <c r="F17" s="40"/>
    </row>
    <row r="18" spans="1:6" x14ac:dyDescent="0.2">
      <c r="A18" s="40"/>
      <c r="B18" s="40"/>
      <c r="C18" s="40"/>
      <c r="D18" s="40"/>
      <c r="E18" s="40"/>
      <c r="F18" s="40"/>
    </row>
  </sheetData>
  <pageMargins left="0.75" right="0.75" top="1" bottom="1" header="0.5" footer="0.5"/>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222"/>
  <sheetViews>
    <sheetView zoomScaleNormal="100" workbookViewId="0">
      <pane xSplit="2" ySplit="1" topLeftCell="C2" activePane="bottomRight" state="frozen"/>
      <selection pane="topRight" activeCell="C1" sqref="C1"/>
      <selection pane="bottomLeft" activeCell="A2" sqref="A2"/>
      <selection pane="bottomRight" activeCell="C9" sqref="C9"/>
    </sheetView>
  </sheetViews>
  <sheetFormatPr defaultRowHeight="12.75" x14ac:dyDescent="0.2"/>
  <cols>
    <col min="1" max="1" width="6.28515625" customWidth="1"/>
    <col min="2" max="2" width="58.42578125" style="43" customWidth="1"/>
    <col min="3" max="3" width="39.7109375" customWidth="1"/>
    <col min="4" max="4" width="11.85546875" customWidth="1"/>
    <col min="5" max="5" width="21.7109375" bestFit="1" customWidth="1"/>
    <col min="6" max="6" width="7.85546875" customWidth="1"/>
    <col min="7" max="7" width="3.42578125" hidden="1" customWidth="1"/>
    <col min="8" max="8" width="21.7109375" customWidth="1"/>
    <col min="9" max="9" width="5.85546875" customWidth="1"/>
    <col min="10" max="10" width="19.28515625" bestFit="1" customWidth="1"/>
  </cols>
  <sheetData>
    <row r="1" spans="1:9" s="43" customFormat="1" x14ac:dyDescent="0.2">
      <c r="A1" s="43" t="s">
        <v>118</v>
      </c>
      <c r="B1" s="43" t="s">
        <v>73</v>
      </c>
      <c r="C1" s="43" t="s">
        <v>75</v>
      </c>
      <c r="D1" s="43" t="s">
        <v>72</v>
      </c>
      <c r="E1" s="43" t="s">
        <v>4</v>
      </c>
      <c r="F1" s="43" t="s">
        <v>71</v>
      </c>
      <c r="G1" s="43" t="s">
        <v>77</v>
      </c>
      <c r="H1" s="43" t="s">
        <v>160</v>
      </c>
      <c r="I1" s="43" t="s">
        <v>71</v>
      </c>
    </row>
    <row r="2" spans="1:9" x14ac:dyDescent="0.2">
      <c r="B2" s="50" t="str">
        <f>Variables!B3</f>
        <v>Baseline annual gas use</v>
      </c>
      <c r="C2" s="50" t="s">
        <v>85</v>
      </c>
      <c r="D2" s="45"/>
      <c r="E2" s="45"/>
      <c r="F2" s="45"/>
      <c r="G2" s="45">
        <v>1</v>
      </c>
      <c r="H2" s="45"/>
    </row>
    <row r="3" spans="1:9" x14ac:dyDescent="0.2">
      <c r="B3" s="43" t="s">
        <v>557</v>
      </c>
      <c r="C3" s="53"/>
      <c r="D3" s="10"/>
    </row>
    <row r="4" spans="1:9" x14ac:dyDescent="0.2">
      <c r="A4">
        <v>1</v>
      </c>
      <c r="B4" s="62" t="str">
        <f>Variables!B3</f>
        <v>Baseline annual gas use</v>
      </c>
      <c r="C4" s="53" t="s">
        <v>355</v>
      </c>
      <c r="D4" s="99">
        <f>VLOOKUP($C4,Variables!B4:F8,2,FALSE)</f>
        <v>29062.0960087229</v>
      </c>
      <c r="E4" t="str">
        <f>Variables!C3</f>
        <v>kWh</v>
      </c>
      <c r="F4" t="str">
        <f>VLOOKUP($C4,Variables!$B$4:$D$11,3,FALSE)</f>
        <v>CDEM</v>
      </c>
    </row>
    <row r="5" spans="1:9" x14ac:dyDescent="0.2">
      <c r="A5">
        <f>A4+1</f>
        <v>2</v>
      </c>
      <c r="B5" s="62" t="str">
        <f>Variables!B10</f>
        <v>Baseline annual electricity use</v>
      </c>
      <c r="C5" s="53" t="s">
        <v>355</v>
      </c>
      <c r="D5" s="99">
        <f>VLOOKUP($C5,Variables!B11:F13,2,FALSE)</f>
        <v>2839.8049940558699</v>
      </c>
      <c r="E5" t="str">
        <f>Variables!C10</f>
        <v>kWh</v>
      </c>
      <c r="F5" t="str">
        <f>VLOOKUP($C5,Variables!B11:D14,3,FALSE)</f>
        <v>CDEM</v>
      </c>
      <c r="H5" s="52"/>
    </row>
    <row r="6" spans="1:9" x14ac:dyDescent="0.2">
      <c r="B6" s="51" t="s">
        <v>540</v>
      </c>
      <c r="C6" s="27"/>
      <c r="D6" s="51"/>
      <c r="E6" s="45"/>
      <c r="F6" s="45"/>
      <c r="G6" s="45"/>
      <c r="H6" s="45"/>
    </row>
    <row r="7" spans="1:9" x14ac:dyDescent="0.2">
      <c r="A7">
        <f>A5+1</f>
        <v>3</v>
      </c>
      <c r="B7" s="62" t="str">
        <f>Variables!B15</f>
        <v>Cavity wall insulation</v>
      </c>
      <c r="C7" s="53" t="s">
        <v>121</v>
      </c>
      <c r="D7" s="70">
        <f>VLOOKUP($C7,Variables!$B16:$F20,2,FALSE)</f>
        <v>0</v>
      </c>
      <c r="E7" t="str">
        <f>Variables!C15</f>
        <v>saving on heating bill</v>
      </c>
      <c r="F7" t="str">
        <f>VLOOKUP(C7,Variables!B16:E41,3,FALSE)</f>
        <v>-</v>
      </c>
      <c r="G7">
        <f>VLOOKUP(D7,Variables!C16:F41,3,FALSE)</f>
        <v>0</v>
      </c>
      <c r="H7" s="125">
        <f>VLOOKUP($C7,Variables!$B16:$F20,4,FALSE)</f>
        <v>0</v>
      </c>
      <c r="I7" s="124" t="str">
        <f>VLOOKUP($C7,Variables!$B16:$F20,5,FALSE)</f>
        <v>-</v>
      </c>
    </row>
    <row r="8" spans="1:9" x14ac:dyDescent="0.2">
      <c r="A8">
        <f>A7+1</f>
        <v>4</v>
      </c>
      <c r="B8" s="62" t="str">
        <f>Variables!B22</f>
        <v>Solid wall insulation</v>
      </c>
      <c r="C8" s="53" t="s">
        <v>121</v>
      </c>
      <c r="D8" s="70">
        <f>VLOOKUP($C8,Variables!$B23:$F40,2,FALSE)</f>
        <v>0</v>
      </c>
      <c r="E8" t="str">
        <f>Variables!C22</f>
        <v>saving on heating bill</v>
      </c>
      <c r="F8" s="124" t="str">
        <f>VLOOKUP($C8,Variables!$B23:$F40,3,FALSE)</f>
        <v>-</v>
      </c>
      <c r="G8" s="2">
        <f>VLOOKUP(D8,Variables!C17:F42,3,FALSE)</f>
        <v>0</v>
      </c>
      <c r="H8" s="125">
        <f>VLOOKUP($C8,Variables!$B23:$F40,4,FALSE)</f>
        <v>0</v>
      </c>
      <c r="I8" s="124" t="str">
        <f>VLOOKUP($C8,Variables!$B23:$F40,5,FALSE)</f>
        <v>-</v>
      </c>
    </row>
    <row r="9" spans="1:9" x14ac:dyDescent="0.2">
      <c r="A9">
        <f t="shared" ref="A9:A14" si="0">A8+1</f>
        <v>5</v>
      </c>
      <c r="B9" s="62" t="str">
        <f>Variables!B42</f>
        <v>Loft insulation</v>
      </c>
      <c r="C9" s="53" t="s">
        <v>402</v>
      </c>
      <c r="D9" s="70">
        <f>VLOOKUP($C9,Variables!$B43:$F49,2,FALSE)</f>
        <v>1.6E-2</v>
      </c>
      <c r="E9" t="str">
        <f>Variables!C42</f>
        <v>saving on heating bill</v>
      </c>
      <c r="F9" t="str">
        <f>VLOOKUP($C9,Variables!$B43:$F49,3,FALSE)</f>
        <v>CDEM</v>
      </c>
      <c r="G9">
        <f>VLOOKUP($C9,Variables!$B43:$F49,2,FALSE)</f>
        <v>1.6E-2</v>
      </c>
      <c r="H9">
        <f>VLOOKUP($C9,Variables!$B43:$F49,4,FALSE)</f>
        <v>141.5</v>
      </c>
      <c r="I9" t="str">
        <f>VLOOKUP($C9,Variables!$B43:$F49,5,FALSE)</f>
        <v>Department of Energy &amp; Climate Change 2011a, p51</v>
      </c>
    </row>
    <row r="10" spans="1:9" x14ac:dyDescent="0.2">
      <c r="A10">
        <f t="shared" si="0"/>
        <v>6</v>
      </c>
      <c r="B10" s="62" t="str">
        <f>Variables!B51</f>
        <v>Other insulation</v>
      </c>
      <c r="C10" s="53" t="s">
        <v>121</v>
      </c>
      <c r="D10" s="70">
        <f>VLOOKUP($C10,Variables!$B52:$F55,2,FALSE)</f>
        <v>0</v>
      </c>
      <c r="E10" t="str">
        <f>Variables!C51</f>
        <v>saving on heating bill</v>
      </c>
      <c r="F10" t="str">
        <f>VLOOKUP($C10,Variables!$B52:$F55,3,FALSE)</f>
        <v>-</v>
      </c>
      <c r="G10">
        <f>VLOOKUP($C10,Variables!$B52:$F55,2,FALSE)</f>
        <v>0</v>
      </c>
      <c r="H10">
        <f>VLOOKUP($C10,Variables!$B52:$F55,4,FALSE)</f>
        <v>0</v>
      </c>
      <c r="I10" t="str">
        <f>VLOOKUP($C10,Variables!$B52:$F55,5,FALSE)</f>
        <v>-</v>
      </c>
    </row>
    <row r="11" spans="1:9" ht="13.5" customHeight="1" x14ac:dyDescent="0.2">
      <c r="A11">
        <f t="shared" si="0"/>
        <v>7</v>
      </c>
      <c r="B11" s="62" t="str">
        <f>Variables!B58</f>
        <v>Heating interventions</v>
      </c>
      <c r="C11" s="53" t="s">
        <v>121</v>
      </c>
      <c r="D11" s="70">
        <f>VLOOKUP($C11,Variables!$B59:$E69,2,FALSE)</f>
        <v>0</v>
      </c>
      <c r="E11" t="str">
        <f>Variables!C58</f>
        <v>saving on heating bill</v>
      </c>
      <c r="F11" s="48" t="str">
        <f>VLOOKUP($C11,Variables!$B59:$E69,3,FALSE)</f>
        <v>-</v>
      </c>
      <c r="G11">
        <f>VLOOKUP(D11,Variables!C17:F57,3,FALSE)</f>
        <v>0</v>
      </c>
      <c r="H11" s="48">
        <f>VLOOKUP($C11,Variables!$B59:$E69,4,FALSE)</f>
        <v>0</v>
      </c>
      <c r="I11" s="48" t="str">
        <f>VLOOKUP($C11,Variables!$B59:$F69,5,FALSE)</f>
        <v>blah2</v>
      </c>
    </row>
    <row r="12" spans="1:9" x14ac:dyDescent="0.2">
      <c r="A12">
        <f>A11+1</f>
        <v>8</v>
      </c>
      <c r="B12" s="62" t="str">
        <f>Variables!B71</f>
        <v>Solar thermal</v>
      </c>
      <c r="C12" s="53" t="s">
        <v>121</v>
      </c>
      <c r="D12" s="70">
        <f>VLOOKUP($C12,Variables!$B72:$F76,2,FALSE)</f>
        <v>0</v>
      </c>
      <c r="E12" s="48" t="str">
        <f>Variables!C71</f>
        <v>saving on heating bill</v>
      </c>
      <c r="F12" s="48" t="str">
        <f>VLOOKUP($C12,Variables!$B72:$F76,3,FALSE)</f>
        <v>-</v>
      </c>
      <c r="G12" s="48">
        <f>VLOOKUP($C12,Variables!$B72:$F76,2,FALSE)</f>
        <v>0</v>
      </c>
      <c r="H12" s="48">
        <f>VLOOKUP($C12,Variables!$B72:$F76,4,FALSE)</f>
        <v>0</v>
      </c>
      <c r="I12" s="48" t="str">
        <f>VLOOKUP($C12,Variables!$B72:$F76,5,FALSE)</f>
        <v>-</v>
      </c>
    </row>
    <row r="13" spans="1:9" x14ac:dyDescent="0.2">
      <c r="A13">
        <f t="shared" si="0"/>
        <v>9</v>
      </c>
      <c r="B13" s="62" t="str">
        <f>Variables!B79</f>
        <v>Demand side management</v>
      </c>
      <c r="C13" s="53" t="s">
        <v>121</v>
      </c>
      <c r="D13" s="70">
        <f>VLOOKUP($C13,Variables!$B80:$F83,2,FALSE)</f>
        <v>0</v>
      </c>
      <c r="E13" s="48" t="str">
        <f>Variables!C79</f>
        <v>saving on electricity bill</v>
      </c>
      <c r="F13" s="48" t="str">
        <f>VLOOKUP($C13,Variables!$B80:$F83,3,FALSE)</f>
        <v>-</v>
      </c>
      <c r="H13" s="48">
        <f>VLOOKUP($C13,Variables!$B80:$F83,4,FALSE)</f>
        <v>0</v>
      </c>
      <c r="I13" s="48" t="str">
        <f>VLOOKUP($C13,Variables!$B80:$F83,5,FALSE)</f>
        <v>-</v>
      </c>
    </row>
    <row r="14" spans="1:9" x14ac:dyDescent="0.2">
      <c r="A14">
        <f t="shared" si="0"/>
        <v>10</v>
      </c>
      <c r="B14" s="62" t="str">
        <f>Variables!B88</f>
        <v>Solar photovoltaics</v>
      </c>
      <c r="C14" s="53" t="s">
        <v>121</v>
      </c>
      <c r="D14" s="70">
        <f>VLOOKUP($C14,Variables!$B89:$F93,2,FALSE)</f>
        <v>0</v>
      </c>
      <c r="E14" s="48" t="str">
        <f>Variables!C88</f>
        <v>saving on electricity bill</v>
      </c>
      <c r="F14" s="48" t="str">
        <f>VLOOKUP($C14,Variables!$B89:$F93,3,FALSE)</f>
        <v>-</v>
      </c>
      <c r="H14" s="48">
        <f>VLOOKUP($C14,Variables!$B89:$F93,4,FALSE)</f>
        <v>0</v>
      </c>
      <c r="I14" s="48" t="str">
        <f>VLOOKUP($C14,Variables!$B89:$F93,5,FALSE)</f>
        <v>-</v>
      </c>
    </row>
    <row r="15" spans="1:9" x14ac:dyDescent="0.2">
      <c r="B15" s="43" t="s">
        <v>556</v>
      </c>
      <c r="C15" s="47"/>
      <c r="D15" s="47"/>
      <c r="E15" s="52"/>
      <c r="H15" s="52"/>
    </row>
    <row r="16" spans="1:9" x14ac:dyDescent="0.2">
      <c r="A16">
        <f>A14+1</f>
        <v>11</v>
      </c>
      <c r="B16" s="63" t="str">
        <f>Variables!B95</f>
        <v>Gas price</v>
      </c>
      <c r="C16" s="53" t="s">
        <v>106</v>
      </c>
      <c r="D16" s="122">
        <f>VLOOKUP(C16,Variables!B96:E107,2,FALSE)</f>
        <v>3.8922806123202176</v>
      </c>
      <c r="E16" t="str">
        <f>Variables!C95</f>
        <v>p/kWh</v>
      </c>
      <c r="F16" t="str">
        <f>VLOOKUP(C16,Variables!B96:E107,3,FALSE)</f>
        <v>Table 5, DECC Carbon Valuation Spreadsheet Tool</v>
      </c>
    </row>
    <row r="17" spans="1:11" ht="12" customHeight="1" x14ac:dyDescent="0.2">
      <c r="A17">
        <f>A16+1</f>
        <v>12</v>
      </c>
      <c r="B17" s="62" t="str">
        <f>Variables!B110</f>
        <v>Electricity price</v>
      </c>
      <c r="C17" s="53" t="s">
        <v>106</v>
      </c>
      <c r="D17" s="122">
        <f>VLOOKUP(C17,Variables!B111:E122,2,FALSE)</f>
        <v>11.990340165972022</v>
      </c>
      <c r="E17" t="str">
        <f>Variables!C110</f>
        <v>p/kWh</v>
      </c>
      <c r="F17" t="str">
        <f>VLOOKUP(C17,Variables!B111:E122,3,FALSE)</f>
        <v>Table 4, DECC Carbon Valuation Spreadsheet Tool</v>
      </c>
    </row>
    <row r="18" spans="1:11" ht="12" customHeight="1" x14ac:dyDescent="0.2">
      <c r="A18">
        <f>A17+1</f>
        <v>13</v>
      </c>
      <c r="B18" s="62" t="s">
        <v>171</v>
      </c>
      <c r="C18" s="53" t="s">
        <v>285</v>
      </c>
      <c r="D18" s="70">
        <f>VLOOKUP($C18,Variables!B141:E144,2,FALSE)</f>
        <v>0</v>
      </c>
      <c r="E18" s="52" t="str">
        <f>Variables!C140</f>
        <v>Annual increase</v>
      </c>
      <c r="F18" s="52" t="str">
        <f>VLOOKUP($C18,Variables!$B141:$F144,3,FALSE)</f>
        <v>Department of Energy &amp; Climate Change 2011a, p23</v>
      </c>
      <c r="K18" s="52"/>
    </row>
    <row r="19" spans="1:11" ht="12" customHeight="1" x14ac:dyDescent="0.2">
      <c r="A19">
        <f>A18+1</f>
        <v>14</v>
      </c>
      <c r="B19" s="62" t="s">
        <v>172</v>
      </c>
      <c r="C19" s="53" t="s">
        <v>285</v>
      </c>
      <c r="D19" s="70">
        <f>VLOOKUP($C19,Variables!B148:E151,2,FALSE)</f>
        <v>0</v>
      </c>
      <c r="E19" s="52" t="str">
        <f>Variables!C147</f>
        <v>Annual increase</v>
      </c>
      <c r="F19" s="98" t="str">
        <f>VLOOKUP($C19,Variables!B148:E151,3,FALSE)</f>
        <v>Department of Energy &amp; Climate Change 2011a, p23</v>
      </c>
    </row>
    <row r="20" spans="1:11" ht="12" customHeight="1" x14ac:dyDescent="0.2">
      <c r="B20" s="43" t="s">
        <v>558</v>
      </c>
      <c r="C20" s="64"/>
      <c r="D20" s="49"/>
    </row>
    <row r="21" spans="1:11" ht="12" customHeight="1" x14ac:dyDescent="0.2">
      <c r="A21">
        <f>A19+1</f>
        <v>15</v>
      </c>
      <c r="B21" s="62" t="str">
        <f>Variables!B158</f>
        <v>Interest rate (Guaranteed Savings)</v>
      </c>
      <c r="C21" s="53" t="s">
        <v>302</v>
      </c>
      <c r="D21" s="71">
        <f>VLOOKUP($C21,Variables!B159:E162,2,FALSE)</f>
        <v>0.2</v>
      </c>
      <c r="E21" t="s">
        <v>74</v>
      </c>
      <c r="F21" s="46" t="str">
        <f>VLOOKUP($C21,Variables!B159:E162,3,FALSE)</f>
        <v>U.S. Environment Protection Agency 1998, p.3</v>
      </c>
    </row>
    <row r="22" spans="1:11" ht="12" customHeight="1" x14ac:dyDescent="0.2">
      <c r="A22">
        <f>A21+1</f>
        <v>16</v>
      </c>
      <c r="B22" s="62" t="str">
        <f>Variables!B165</f>
        <v>Interest rate (Shared Savings)</v>
      </c>
      <c r="C22" s="53" t="s">
        <v>301</v>
      </c>
      <c r="D22" s="71">
        <f>VLOOKUP($C22,Variables!B166:E172,2,FALSE)</f>
        <v>0.05</v>
      </c>
      <c r="E22" t="s">
        <v>74</v>
      </c>
      <c r="F22" s="46" t="str">
        <f>VLOOKUP($C22,Variables!B166:E172,3,FALSE)</f>
        <v>Department of Energy &amp; Climate Change 2011a, p62</v>
      </c>
    </row>
    <row r="23" spans="1:11" ht="12" customHeight="1" x14ac:dyDescent="0.2">
      <c r="A23">
        <f>A22+1</f>
        <v>17</v>
      </c>
      <c r="B23" s="62" t="str">
        <f>Variables!B175</f>
        <v>Contract Length, T</v>
      </c>
      <c r="C23" s="53" t="s">
        <v>145</v>
      </c>
      <c r="D23" s="99">
        <f>VLOOKUP($C23,Variables!$B175:$E186,2,FALSE)</f>
        <v>5</v>
      </c>
      <c r="E23" s="49" t="str">
        <f>Variables!C175</f>
        <v>years</v>
      </c>
      <c r="F23" s="49" t="str">
        <f>VLOOKUP($C23,Variables!$B175:$E186,3,FALSE)</f>
        <v>Department of Energy &amp; Climate Change 2011a, p.63</v>
      </c>
      <c r="G23" s="47"/>
      <c r="H23" s="47"/>
    </row>
    <row r="24" spans="1:11" x14ac:dyDescent="0.2">
      <c r="B24" s="43" t="s">
        <v>541</v>
      </c>
      <c r="C24" s="53"/>
      <c r="D24" s="69"/>
      <c r="F24" s="124"/>
    </row>
    <row r="25" spans="1:11" x14ac:dyDescent="0.2">
      <c r="A25">
        <f>A23+1</f>
        <v>18</v>
      </c>
      <c r="B25" s="62" t="str">
        <f>Variables!B188</f>
        <v>Heating takeback (Guaranteed Savings)</v>
      </c>
      <c r="C25" s="53" t="s">
        <v>431</v>
      </c>
      <c r="D25" s="69">
        <f>VLOOKUP($C25,Variables!$B189:$E192,2,FALSE)</f>
        <v>0.25</v>
      </c>
      <c r="E25" t="s">
        <v>158</v>
      </c>
      <c r="F25" s="124" t="str">
        <f>VLOOKUP($C25,Variables!$B189:$E192,3,FALSE)</f>
        <v>Estimate (based on Herring &amp; S. Sorrell 2009, p.36)</v>
      </c>
    </row>
    <row r="26" spans="1:11" x14ac:dyDescent="0.2">
      <c r="A26">
        <f>A25+1</f>
        <v>19</v>
      </c>
      <c r="B26" s="62" t="str">
        <f>Variables!B202</f>
        <v>Heating takeback (Shared Savings)</v>
      </c>
      <c r="C26" s="53" t="s">
        <v>431</v>
      </c>
      <c r="D26" s="69">
        <f>VLOOKUP(C26,Variables!B203:E206,2,FALSE)</f>
        <v>0.2</v>
      </c>
      <c r="E26" t="s">
        <v>158</v>
      </c>
      <c r="F26" t="str">
        <f>VLOOKUP(C26,Variables!B203:E206,3,FALSE)</f>
        <v>Estimate (based on Herring &amp; S. Sorrell 2009, p.36)</v>
      </c>
    </row>
    <row r="27" spans="1:11" x14ac:dyDescent="0.2">
      <c r="A27">
        <f>A26+1</f>
        <v>20</v>
      </c>
      <c r="B27" s="62" t="s">
        <v>542</v>
      </c>
      <c r="C27" s="53"/>
      <c r="D27" s="69">
        <v>0.15</v>
      </c>
      <c r="E27" t="s">
        <v>158</v>
      </c>
      <c r="F27" t="e">
        <f>VLOOKUP(C27,Variables!B204:E207,3,FALSE)</f>
        <v>#N/A</v>
      </c>
    </row>
    <row r="28" spans="1:11" x14ac:dyDescent="0.2">
      <c r="A28">
        <f>A26+1</f>
        <v>20</v>
      </c>
      <c r="B28" s="62" t="str">
        <f>Variables!B208</f>
        <v>Electricity takeback (Guaranteed savings)</v>
      </c>
      <c r="C28" s="53" t="s">
        <v>159</v>
      </c>
      <c r="D28" s="70">
        <f>VLOOKUP($C28,Variables!$B209:$D212,2,FALSE)</f>
        <v>0</v>
      </c>
      <c r="E28" t="s">
        <v>158</v>
      </c>
      <c r="F28" s="98" t="str">
        <f>VLOOKUP($C28,Variables!$B209:$D212,3,FALSE)</f>
        <v>-</v>
      </c>
    </row>
    <row r="29" spans="1:11" x14ac:dyDescent="0.2">
      <c r="A29">
        <f>A28+1</f>
        <v>21</v>
      </c>
      <c r="B29" s="62" t="str">
        <f>Variables!B214</f>
        <v>Electricity takeback (Shared Savings)</v>
      </c>
      <c r="C29" s="53" t="s">
        <v>159</v>
      </c>
      <c r="D29" s="70">
        <f>VLOOKUP($C29,Variables!$B215:$E218,2,FALSE)</f>
        <v>0</v>
      </c>
      <c r="E29" t="s">
        <v>158</v>
      </c>
      <c r="F29" s="49" t="str">
        <f>VLOOKUP($C29,Variables!$B215:$E218,3,FALSE)</f>
        <v>Estimate</v>
      </c>
    </row>
    <row r="30" spans="1:11" x14ac:dyDescent="0.2">
      <c r="B30" s="43" t="s">
        <v>560</v>
      </c>
      <c r="C30" s="53"/>
      <c r="D30" s="49"/>
      <c r="F30" s="49"/>
    </row>
    <row r="31" spans="1:11" x14ac:dyDescent="0.2">
      <c r="A31">
        <f>A29+1</f>
        <v>22</v>
      </c>
      <c r="B31" s="62" t="s">
        <v>120</v>
      </c>
      <c r="C31" s="53" t="s">
        <v>369</v>
      </c>
      <c r="D31" s="122">
        <f>VLOOKUP(C31,Variables!B221:E223,2,FALSE)</f>
        <v>0</v>
      </c>
      <c r="E31" t="str">
        <f>Variables!C220</f>
        <v>£ earnt</v>
      </c>
      <c r="F31" t="str">
        <f>VLOOKUP(C31,Variables!B221:E223,3,FALSE)</f>
        <v>-</v>
      </c>
    </row>
    <row r="32" spans="1:11" x14ac:dyDescent="0.2">
      <c r="A32">
        <f>A31+1</f>
        <v>23</v>
      </c>
      <c r="B32" s="62" t="s">
        <v>139</v>
      </c>
      <c r="C32" s="53" t="s">
        <v>369</v>
      </c>
      <c r="D32" s="122">
        <f>VLOOKUP($C32,Variables!$B226:$E228,2,FALSE)</f>
        <v>0</v>
      </c>
      <c r="E32" s="49" t="str">
        <f>Variables!C225</f>
        <v>£ earnt</v>
      </c>
      <c r="F32" s="49" t="str">
        <f>VLOOKUP($C32,Variables!$B226:$E228,3,FALSE)</f>
        <v>-</v>
      </c>
      <c r="G32" s="49">
        <f>VLOOKUP($C32,Variables!$B226:$E228,2,FALSE)</f>
        <v>0</v>
      </c>
      <c r="H32" s="49"/>
      <c r="I32" s="49"/>
    </row>
    <row r="33" spans="1:9" x14ac:dyDescent="0.2">
      <c r="B33" s="43" t="s">
        <v>561</v>
      </c>
      <c r="C33" s="53"/>
      <c r="D33" s="44"/>
    </row>
    <row r="34" spans="1:9" ht="12" customHeight="1" x14ac:dyDescent="0.2">
      <c r="A34">
        <f>A32+1</f>
        <v>24</v>
      </c>
      <c r="B34" s="62" t="s">
        <v>135</v>
      </c>
      <c r="C34" s="53" t="s">
        <v>277</v>
      </c>
      <c r="D34" s="69">
        <f>VLOOKUP($C34,Variables!$B231:$E234,2,FALSE)</f>
        <v>0.18</v>
      </c>
      <c r="E34" t="str">
        <f>Variables!C230</f>
        <v>%</v>
      </c>
      <c r="F34" s="47" t="str">
        <f>VLOOKUP($C34,Variables!$B231:$E234,3,FALSE)</f>
        <v>Ofgem in Department of Energy &amp; Climate Change 2011a, p25+106</v>
      </c>
      <c r="G34" s="47">
        <f>VLOOKUP($C34,Variables!$B231:$E234,2,FALSE)</f>
        <v>0.18</v>
      </c>
    </row>
    <row r="35" spans="1:9" x14ac:dyDescent="0.2">
      <c r="B35" s="43" t="s">
        <v>143</v>
      </c>
      <c r="C35" s="53"/>
      <c r="D35" s="49"/>
      <c r="E35" s="49"/>
      <c r="F35" s="49"/>
      <c r="G35" s="49"/>
      <c r="H35" s="49"/>
      <c r="I35" s="49"/>
    </row>
    <row r="36" spans="1:9" hidden="1" x14ac:dyDescent="0.2">
      <c r="A36">
        <f>A34+1</f>
        <v>25</v>
      </c>
      <c r="B36" s="62" t="str">
        <f>Variables!B237</f>
        <v>Carbon Emissions Factor (Electricity)</v>
      </c>
      <c r="C36" s="53" t="s">
        <v>81</v>
      </c>
      <c r="D36" s="123">
        <f>VLOOKUP(C36,Variables!B237:E240,2,FALSE)</f>
        <v>0.47954014047307586</v>
      </c>
      <c r="E36" s="44" t="str">
        <f>Variables!C237</f>
        <v>kgCO2/kWh</v>
      </c>
      <c r="F36" t="str">
        <f>VLOOKUP(C36,Variables!B238:E240,3,FALSE)</f>
        <v>Table 1, DECC Carbon Valuation Spreadsheet Tool</v>
      </c>
      <c r="G36">
        <v>13</v>
      </c>
      <c r="H36" s="44"/>
    </row>
    <row r="37" spans="1:9" hidden="1" x14ac:dyDescent="0.2">
      <c r="A37">
        <f>A36+1</f>
        <v>26</v>
      </c>
      <c r="B37" s="62" t="str">
        <f>Variables!B242</f>
        <v>Carbon Emissions Factor (Gas)</v>
      </c>
      <c r="C37" s="53" t="s">
        <v>81</v>
      </c>
      <c r="D37" s="123">
        <f>VLOOKUP(C37,Variables!B243:E243,2,FALSE)</f>
        <v>0.18357999999999999</v>
      </c>
      <c r="E37" t="str">
        <f>Variables!C242</f>
        <v>kgCO2/kWh</v>
      </c>
      <c r="F37" t="str">
        <f>VLOOKUP(C37,Variables!B243:E243,3,FALSE)</f>
        <v>Table 2, DECC Carbon Valuation Spreadsheet Tool</v>
      </c>
      <c r="G37">
        <v>14</v>
      </c>
    </row>
    <row r="38" spans="1:9" s="73" customFormat="1" x14ac:dyDescent="0.2">
      <c r="B38" s="73" t="s">
        <v>184</v>
      </c>
      <c r="D38" s="74"/>
    </row>
    <row r="39" spans="1:9" x14ac:dyDescent="0.2">
      <c r="A39" t="s">
        <v>358</v>
      </c>
      <c r="B39" s="62" t="s">
        <v>539</v>
      </c>
      <c r="D39" s="47">
        <f>D4</f>
        <v>29062.0960087229</v>
      </c>
      <c r="E39" t="s">
        <v>5</v>
      </c>
      <c r="F39" s="47" t="str">
        <f>F4</f>
        <v>CDEM</v>
      </c>
    </row>
    <row r="40" spans="1:9" s="62" customFormat="1" x14ac:dyDescent="0.2">
      <c r="A40" t="s">
        <v>544</v>
      </c>
      <c r="B40" s="62" t="s">
        <v>543</v>
      </c>
      <c r="D40" s="67">
        <f>$D$39*(SUM($D$7:$D$14))</f>
        <v>464.9935361395664</v>
      </c>
      <c r="E40" s="62" t="s">
        <v>5</v>
      </c>
      <c r="F40" s="245" t="s">
        <v>490</v>
      </c>
      <c r="H40" s="134"/>
    </row>
    <row r="41" spans="1:9" s="62" customFormat="1" x14ac:dyDescent="0.2">
      <c r="A41"/>
      <c r="D41" s="67"/>
      <c r="F41" s="245"/>
      <c r="H41" s="134"/>
    </row>
    <row r="42" spans="1:9" s="134" customFormat="1" ht="18.75" x14ac:dyDescent="0.35">
      <c r="A42" s="259" t="s">
        <v>573</v>
      </c>
      <c r="B42" s="62" t="s">
        <v>489</v>
      </c>
      <c r="D42" s="67">
        <f>($D$40*(1-$D$27))</f>
        <v>395.24450571863144</v>
      </c>
      <c r="E42" s="50" t="s">
        <v>5</v>
      </c>
      <c r="F42" s="245" t="s">
        <v>490</v>
      </c>
      <c r="H42" s="134">
        <f>$D$39-($D$40*(1-$D$27))</f>
        <v>28666.851503004269</v>
      </c>
    </row>
    <row r="43" spans="1:9" s="62" customFormat="1" ht="18.75" x14ac:dyDescent="0.35">
      <c r="A43" s="259" t="s">
        <v>574</v>
      </c>
      <c r="B43" s="62" t="s">
        <v>304</v>
      </c>
      <c r="D43" s="67">
        <f>($D$40*(1-$D$25))</f>
        <v>348.74515210467479</v>
      </c>
      <c r="E43" s="62" t="s">
        <v>5</v>
      </c>
      <c r="F43" s="245" t="s">
        <v>490</v>
      </c>
      <c r="H43" s="134">
        <f>$D$39-($D$40*(1-$D$25))</f>
        <v>28713.350856618224</v>
      </c>
    </row>
    <row r="44" spans="1:9" s="62" customFormat="1" ht="18.75" x14ac:dyDescent="0.35">
      <c r="A44" s="259" t="s">
        <v>575</v>
      </c>
      <c r="B44" s="62" t="s">
        <v>305</v>
      </c>
      <c r="D44" s="67">
        <f>($D$40*(1-$D$26))</f>
        <v>371.99482891165314</v>
      </c>
      <c r="E44" s="62" t="s">
        <v>5</v>
      </c>
      <c r="F44" s="245" t="s">
        <v>490</v>
      </c>
      <c r="H44" s="134">
        <f>$D$39-($D$40*(1-$D$26))</f>
        <v>28690.101179811245</v>
      </c>
    </row>
    <row r="45" spans="1:9" s="62" customFormat="1" ht="15.75" x14ac:dyDescent="0.25">
      <c r="A45" s="259"/>
      <c r="D45" s="67"/>
      <c r="F45" s="245"/>
      <c r="H45" s="134"/>
    </row>
    <row r="46" spans="1:9" s="134" customFormat="1" ht="18.75" x14ac:dyDescent="0.35">
      <c r="A46" s="259" t="s">
        <v>545</v>
      </c>
      <c r="B46" s="62" t="s">
        <v>489</v>
      </c>
      <c r="D46" s="67">
        <f>$D$39-($D$40*(1-$D$27))</f>
        <v>28666.851503004269</v>
      </c>
      <c r="E46" s="50" t="s">
        <v>5</v>
      </c>
      <c r="F46" s="245" t="s">
        <v>490</v>
      </c>
      <c r="H46" s="134">
        <f>$D$39-($D$40*(1-$D$27))</f>
        <v>28666.851503004269</v>
      </c>
    </row>
    <row r="47" spans="1:9" s="62" customFormat="1" ht="18.75" x14ac:dyDescent="0.35">
      <c r="A47" s="259" t="s">
        <v>546</v>
      </c>
      <c r="B47" s="62" t="s">
        <v>304</v>
      </c>
      <c r="D47" s="67">
        <f>$D$39-($D$40*(1-$D$25))</f>
        <v>28713.350856618224</v>
      </c>
      <c r="E47" s="62" t="s">
        <v>5</v>
      </c>
      <c r="F47" s="245" t="s">
        <v>490</v>
      </c>
      <c r="H47" s="134">
        <f>$D$39-($D$40*(1-$D$25))</f>
        <v>28713.350856618224</v>
      </c>
    </row>
    <row r="48" spans="1:9" s="62" customFormat="1" ht="18.75" x14ac:dyDescent="0.35">
      <c r="A48" s="259" t="s">
        <v>547</v>
      </c>
      <c r="B48" s="62" t="s">
        <v>305</v>
      </c>
      <c r="D48" s="67">
        <f>$D$39-($D$40*(1-$D$26))</f>
        <v>28690.101179811245</v>
      </c>
      <c r="E48" s="62" t="s">
        <v>5</v>
      </c>
      <c r="F48" s="245" t="s">
        <v>490</v>
      </c>
      <c r="H48" s="134">
        <f>$D$39-($D$40*(1-$D$26))</f>
        <v>28690.101179811245</v>
      </c>
    </row>
    <row r="49" spans="1:10" s="62" customFormat="1" x14ac:dyDescent="0.2">
      <c r="D49" s="67"/>
    </row>
    <row r="50" spans="1:10" s="43" customFormat="1" x14ac:dyDescent="0.2">
      <c r="A50"/>
      <c r="B50" s="43" t="s">
        <v>244</v>
      </c>
      <c r="D50" s="253">
        <f>D40/D39</f>
        <v>1.6E-2</v>
      </c>
      <c r="H50" s="176">
        <f>D39*(1-D7)</f>
        <v>29062.0960087229</v>
      </c>
    </row>
    <row r="51" spans="1:10" s="43" customFormat="1" x14ac:dyDescent="0.2">
      <c r="A51"/>
      <c r="B51" s="43" t="s">
        <v>513</v>
      </c>
      <c r="D51" s="253">
        <f>(D39-D46)/D39</f>
        <v>1.359999999999997E-2</v>
      </c>
    </row>
    <row r="52" spans="1:10" s="43" customFormat="1" x14ac:dyDescent="0.2">
      <c r="A52"/>
      <c r="B52" s="43" t="s">
        <v>242</v>
      </c>
      <c r="D52" s="253">
        <f>(D39-D47)/D39</f>
        <v>1.2000000000000009E-2</v>
      </c>
    </row>
    <row r="53" spans="1:10" s="43" customFormat="1" x14ac:dyDescent="0.2">
      <c r="A53"/>
      <c r="B53" s="43" t="s">
        <v>243</v>
      </c>
      <c r="D53" s="253">
        <f>(D39-D48)/D39</f>
        <v>1.2800000000000053E-2</v>
      </c>
    </row>
    <row r="54" spans="1:10" x14ac:dyDescent="0.2">
      <c r="D54" s="47"/>
    </row>
    <row r="55" spans="1:10" s="62" customFormat="1" ht="13.5" customHeight="1" x14ac:dyDescent="0.35">
      <c r="A55" s="259" t="s">
        <v>548</v>
      </c>
      <c r="B55" s="62" t="s">
        <v>336</v>
      </c>
      <c r="D55" s="257">
        <f>(D39*(D16*(((1)+(POWER(1+D$18,D$23)))/2)))/100</f>
        <v>1131.1783284814092</v>
      </c>
      <c r="E55" s="62" t="s">
        <v>98</v>
      </c>
      <c r="F55" s="62" t="s">
        <v>339</v>
      </c>
      <c r="H55" s="67">
        <f>D55*5</f>
        <v>5655.8916424070458</v>
      </c>
    </row>
    <row r="56" spans="1:10" s="62" customFormat="1" x14ac:dyDescent="0.2">
      <c r="A56"/>
      <c r="B56" s="62" t="s">
        <v>514</v>
      </c>
      <c r="D56" s="258">
        <f>(D46*(D$16*(((1+D$18)+(POWER(1+D$18,D$23)))/2))/100)-(D$32)</f>
        <v>1115.794303214062</v>
      </c>
      <c r="E56" s="62" t="s">
        <v>98</v>
      </c>
      <c r="F56" s="62" t="s">
        <v>340</v>
      </c>
      <c r="H56" s="67">
        <f>D56*5</f>
        <v>5578.9715160703099</v>
      </c>
      <c r="I56" s="67">
        <f>H$55-H56</f>
        <v>76.920126336735848</v>
      </c>
    </row>
    <row r="57" spans="1:10" s="62" customFormat="1" ht="18.75" x14ac:dyDescent="0.35">
      <c r="A57" s="259" t="s">
        <v>551</v>
      </c>
      <c r="B57" s="62" t="s">
        <v>515</v>
      </c>
      <c r="D57" s="258">
        <f>D64/D23+D56</f>
        <v>1144.0943032140619</v>
      </c>
      <c r="E57" s="62" t="s">
        <v>98</v>
      </c>
      <c r="F57" s="62" t="s">
        <v>516</v>
      </c>
      <c r="H57" s="67">
        <f>D57*5</f>
        <v>5720.4715160703099</v>
      </c>
      <c r="I57" s="67">
        <f>H$55-H57</f>
        <v>-64.579873663264152</v>
      </c>
    </row>
    <row r="58" spans="1:10" s="62" customFormat="1" ht="18.75" x14ac:dyDescent="0.35">
      <c r="A58" s="259" t="s">
        <v>549</v>
      </c>
      <c r="B58" s="62" t="s">
        <v>337</v>
      </c>
      <c r="D58" s="258">
        <f>(D47*(D$16*(((1+D$18)+(POWER(1+D$18,D$23)))/2))/100)-(D$32)</f>
        <v>1117.6041885396323</v>
      </c>
      <c r="E58" s="62" t="s">
        <v>98</v>
      </c>
      <c r="F58" s="62" t="s">
        <v>340</v>
      </c>
      <c r="H58" s="67">
        <f>D58*5</f>
        <v>5588.0209426981619</v>
      </c>
      <c r="I58" s="67">
        <f>H$55-H58</f>
        <v>67.870699708883876</v>
      </c>
    </row>
    <row r="59" spans="1:10" s="62" customFormat="1" ht="18.75" x14ac:dyDescent="0.35">
      <c r="A59" s="259" t="s">
        <v>550</v>
      </c>
      <c r="B59" s="62" t="s">
        <v>338</v>
      </c>
      <c r="D59" s="257">
        <f>(D48*(D$16*(((1+D$18)+(POWER(1+D$18,D$23)))/2))/100)-(D$32)</f>
        <v>1116.699245876847</v>
      </c>
      <c r="E59" s="62" t="s">
        <v>98</v>
      </c>
      <c r="F59" s="62" t="s">
        <v>341</v>
      </c>
      <c r="H59" s="67">
        <f>D59*5</f>
        <v>5583.4962293842354</v>
      </c>
      <c r="I59" s="67">
        <f>H$55-H59</f>
        <v>72.395413022810317</v>
      </c>
    </row>
    <row r="60" spans="1:10" x14ac:dyDescent="0.2">
      <c r="D60" s="47"/>
    </row>
    <row r="61" spans="1:10" s="43" customFormat="1" ht="15.75" x14ac:dyDescent="0.25">
      <c r="A61" s="259" t="s">
        <v>552</v>
      </c>
      <c r="B61" s="43" t="s">
        <v>234</v>
      </c>
      <c r="D61" s="56">
        <f>D55-D58</f>
        <v>13.574139941776821</v>
      </c>
      <c r="E61" s="43" t="s">
        <v>98</v>
      </c>
      <c r="H61" s="177">
        <f>5^3</f>
        <v>125</v>
      </c>
    </row>
    <row r="62" spans="1:10" s="43" customFormat="1" ht="15.75" x14ac:dyDescent="0.25">
      <c r="A62" s="259" t="s">
        <v>553</v>
      </c>
      <c r="B62" s="43" t="s">
        <v>233</v>
      </c>
      <c r="D62" s="56">
        <f>D55-D59</f>
        <v>14.479082604562109</v>
      </c>
      <c r="E62" s="43" t="s">
        <v>98</v>
      </c>
      <c r="H62" t="s">
        <v>384</v>
      </c>
    </row>
    <row r="63" spans="1:10" s="62" customFormat="1" x14ac:dyDescent="0.2">
      <c r="D63" s="67"/>
      <c r="H63" s="62">
        <f>D66*(D21+D18)*(1+(D21+D18))^D23/((1+(D21+D18))^D23-1)</f>
        <v>55.831379058267046</v>
      </c>
    </row>
    <row r="64" spans="1:10" s="62" customFormat="1" x14ac:dyDescent="0.2">
      <c r="A64" t="s">
        <v>554</v>
      </c>
      <c r="B64" s="62" t="s">
        <v>156</v>
      </c>
      <c r="D64" s="67">
        <f>SUM(H7:H12)</f>
        <v>141.5</v>
      </c>
      <c r="E64" s="62" t="s">
        <v>98</v>
      </c>
      <c r="H64" s="62">
        <f>D66/((1-(1/(1+D21)*D23))/D21)</f>
        <v>-10.545473684210526</v>
      </c>
      <c r="J64" s="62">
        <f>100000/((1-(1/(1+ (0.12/12)) ^ 12) )/(0.12/12))</f>
        <v>8884.8788678341698</v>
      </c>
    </row>
    <row r="65" spans="1:13" s="62" customFormat="1" x14ac:dyDescent="0.2">
      <c r="H65" s="62" t="s">
        <v>383</v>
      </c>
      <c r="I65" s="62">
        <f>M65/(L65-1)</f>
        <v>55.831379058267046</v>
      </c>
      <c r="J65" s="72">
        <f>PMT(0.12,12,100000,0,1)</f>
        <v>-14414.000678035336</v>
      </c>
      <c r="K65" s="67">
        <f>D66*(D21+D18)</f>
        <v>33.393999999999998</v>
      </c>
      <c r="L65" s="62">
        <f>POWER((1+(D21+D18)),D23)</f>
        <v>2.4883199999999999</v>
      </c>
      <c r="M65" s="62">
        <f>K65*L65</f>
        <v>83.094958079999998</v>
      </c>
    </row>
    <row r="66" spans="1:13" s="62" customFormat="1" x14ac:dyDescent="0.2">
      <c r="A66" t="s">
        <v>555</v>
      </c>
      <c r="B66" s="62" t="s">
        <v>345</v>
      </c>
      <c r="D66" s="67">
        <f>D64+(D64*D34)</f>
        <v>166.97</v>
      </c>
      <c r="E66" s="62" t="s">
        <v>98</v>
      </c>
      <c r="F66" s="62" t="s">
        <v>173</v>
      </c>
      <c r="M66" s="62">
        <f>D66*POWER((1+(D21+D18)),D23)</f>
        <v>415.47479039999996</v>
      </c>
    </row>
    <row r="67" spans="1:13" s="62" customFormat="1" x14ac:dyDescent="0.2">
      <c r="D67" s="67"/>
      <c r="F67" s="62">
        <f>((283*(1+0.18))*0.05*(POWER(1+0.05,5))/(POWER(1+0.05,5)-1))</f>
        <v>77.131724086953838</v>
      </c>
      <c r="M67" s="62">
        <f>M66/5</f>
        <v>83.094958079999998</v>
      </c>
    </row>
    <row r="68" spans="1:13" s="62" customFormat="1" x14ac:dyDescent="0.2">
      <c r="A68" t="s">
        <v>563</v>
      </c>
      <c r="B68" s="62" t="s">
        <v>306</v>
      </c>
      <c r="D68" s="72">
        <f>(PMT(D$21+D18,D$23,D$66,0))*-1</f>
        <v>55.831379058267046</v>
      </c>
      <c r="F68" s="62" t="s">
        <v>500</v>
      </c>
      <c r="H68" s="72"/>
      <c r="K68" s="67"/>
    </row>
    <row r="69" spans="1:13" s="62" customFormat="1" x14ac:dyDescent="0.2">
      <c r="A69" t="s">
        <v>562</v>
      </c>
      <c r="B69" s="62" t="s">
        <v>307</v>
      </c>
      <c r="D69" s="72">
        <f>(PMT(D$22+D18,D$23,D$66,,0))*-1</f>
        <v>38.565862043476926</v>
      </c>
      <c r="F69" s="62" t="s">
        <v>500</v>
      </c>
      <c r="H69" s="72"/>
      <c r="K69" s="67"/>
    </row>
    <row r="70" spans="1:13" s="62" customFormat="1" hidden="1" x14ac:dyDescent="0.2">
      <c r="D70" s="67"/>
    </row>
    <row r="71" spans="1:13" s="62" customFormat="1" hidden="1" x14ac:dyDescent="0.2">
      <c r="B71" s="62" t="s">
        <v>191</v>
      </c>
      <c r="D71" s="94">
        <f>(D55*(POWER((1+D$18),D$23)))*D$23</f>
        <v>5655.8916424070458</v>
      </c>
      <c r="F71" s="62" t="s">
        <v>174</v>
      </c>
    </row>
    <row r="72" spans="1:13" s="62" customFormat="1" hidden="1" x14ac:dyDescent="0.2">
      <c r="B72" s="62" t="s">
        <v>308</v>
      </c>
      <c r="D72" s="94">
        <f>(D59*POWER((1+D18),D23))*D23</f>
        <v>5583.4962293842354</v>
      </c>
      <c r="F72" s="62" t="s">
        <v>174</v>
      </c>
    </row>
    <row r="73" spans="1:13" s="62" customFormat="1" hidden="1" x14ac:dyDescent="0.2">
      <c r="B73" s="62" t="s">
        <v>309</v>
      </c>
      <c r="D73" s="94" t="e">
        <f>(D58*POWER((1+D19),#REF!))*#REF!</f>
        <v>#REF!</v>
      </c>
      <c r="F73" s="62" t="s">
        <v>174</v>
      </c>
    </row>
    <row r="74" spans="1:13" s="62" customFormat="1" x14ac:dyDescent="0.2">
      <c r="D74" s="67"/>
    </row>
    <row r="75" spans="1:13" s="62" customFormat="1" hidden="1" x14ac:dyDescent="0.2">
      <c r="B75" s="62" t="s">
        <v>310</v>
      </c>
      <c r="D75" s="67">
        <f>D66/D23</f>
        <v>33.393999999999998</v>
      </c>
      <c r="E75" s="62" t="s">
        <v>114</v>
      </c>
    </row>
    <row r="76" spans="1:13" hidden="1" x14ac:dyDescent="0.2">
      <c r="D76" s="47"/>
    </row>
    <row r="77" spans="1:13" x14ac:dyDescent="0.2">
      <c r="B77" s="80" t="s">
        <v>162</v>
      </c>
      <c r="C77" s="81"/>
      <c r="D77" s="82"/>
      <c r="E77" s="81"/>
      <c r="H77" s="175">
        <f>D68*D23</f>
        <v>279.15689529133522</v>
      </c>
    </row>
    <row r="78" spans="1:13" s="62" customFormat="1" x14ac:dyDescent="0.2">
      <c r="A78" t="s">
        <v>564</v>
      </c>
      <c r="B78" s="65" t="s">
        <v>157</v>
      </c>
      <c r="C78" s="65"/>
      <c r="D78" s="180">
        <f>D55</f>
        <v>1131.1783284814092</v>
      </c>
      <c r="E78" s="65" t="s">
        <v>114</v>
      </c>
      <c r="H78" s="72">
        <f>D69*D23</f>
        <v>192.82931021738463</v>
      </c>
    </row>
    <row r="79" spans="1:13" s="62" customFormat="1" x14ac:dyDescent="0.2">
      <c r="A79" t="s">
        <v>565</v>
      </c>
      <c r="B79" s="65" t="s">
        <v>311</v>
      </c>
      <c r="C79" s="65"/>
      <c r="D79" s="66">
        <f>D58+D68</f>
        <v>1173.4355675978993</v>
      </c>
      <c r="E79" s="65" t="s">
        <v>114</v>
      </c>
      <c r="F79" s="62" t="s">
        <v>209</v>
      </c>
    </row>
    <row r="80" spans="1:13" x14ac:dyDescent="0.2">
      <c r="B80" s="80"/>
      <c r="C80" s="81"/>
      <c r="D80" s="82"/>
      <c r="E80" s="81"/>
    </row>
    <row r="81" spans="1:6" s="43" customFormat="1" x14ac:dyDescent="0.2">
      <c r="A81"/>
      <c r="B81" s="80" t="s">
        <v>312</v>
      </c>
      <c r="C81" s="80"/>
      <c r="D81" s="83">
        <f>D78-D79</f>
        <v>-42.257239116490155</v>
      </c>
      <c r="E81" s="80" t="s">
        <v>114</v>
      </c>
    </row>
    <row r="82" spans="1:6" s="43" customFormat="1" x14ac:dyDescent="0.2">
      <c r="B82" s="80"/>
      <c r="C82" s="80"/>
      <c r="D82" s="83"/>
      <c r="E82" s="80"/>
    </row>
    <row r="83" spans="1:6" s="43" customFormat="1" x14ac:dyDescent="0.2">
      <c r="A83" t="s">
        <v>566</v>
      </c>
      <c r="B83" s="80" t="s">
        <v>235</v>
      </c>
      <c r="C83" s="80"/>
      <c r="D83" s="256">
        <f>D81/D78</f>
        <v>-3.7356832298245934E-2</v>
      </c>
      <c r="E83" s="80"/>
      <c r="F83" s="62" t="s">
        <v>313</v>
      </c>
    </row>
    <row r="84" spans="1:6" ht="13.5" customHeight="1" x14ac:dyDescent="0.2">
      <c r="D84" s="47"/>
    </row>
    <row r="85" spans="1:6" x14ac:dyDescent="0.2">
      <c r="B85" s="85" t="s">
        <v>163</v>
      </c>
      <c r="C85" s="86"/>
      <c r="D85" s="87"/>
      <c r="E85" s="86"/>
    </row>
    <row r="86" spans="1:6" s="62" customFormat="1" x14ac:dyDescent="0.2">
      <c r="A86" t="s">
        <v>567</v>
      </c>
      <c r="B86" s="88" t="s">
        <v>314</v>
      </c>
      <c r="C86" s="88"/>
      <c r="D86" s="89">
        <f>IF((D62/2)&gt;D69,D62/2,D69)</f>
        <v>38.565862043476926</v>
      </c>
      <c r="E86" s="88"/>
    </row>
    <row r="87" spans="1:6" s="62" customFormat="1" x14ac:dyDescent="0.2">
      <c r="A87" t="s">
        <v>567</v>
      </c>
      <c r="B87" s="88" t="s">
        <v>161</v>
      </c>
      <c r="C87" s="88"/>
      <c r="D87" s="89">
        <f>IF((D62/2)&gt;D69,D62/2,D62-D69)</f>
        <v>-24.086779438914817</v>
      </c>
      <c r="E87" s="88"/>
    </row>
    <row r="88" spans="1:6" x14ac:dyDescent="0.2">
      <c r="B88" s="85"/>
      <c r="C88" s="86"/>
      <c r="D88" s="87"/>
      <c r="E88" s="86"/>
    </row>
    <row r="89" spans="1:6" s="62" customFormat="1" x14ac:dyDescent="0.2">
      <c r="A89" t="s">
        <v>564</v>
      </c>
      <c r="B89" s="88" t="s">
        <v>157</v>
      </c>
      <c r="C89" s="88"/>
      <c r="D89" s="89">
        <f>D55</f>
        <v>1131.1783284814092</v>
      </c>
      <c r="E89" s="88" t="s">
        <v>114</v>
      </c>
    </row>
    <row r="90" spans="1:6" s="62" customFormat="1" x14ac:dyDescent="0.2">
      <c r="A90" t="s">
        <v>568</v>
      </c>
      <c r="B90" s="88" t="s">
        <v>311</v>
      </c>
      <c r="C90" s="88"/>
      <c r="D90" s="89">
        <f>D55-D87</f>
        <v>1155.265107920324</v>
      </c>
      <c r="E90" s="88" t="s">
        <v>114</v>
      </c>
      <c r="F90" s="62" t="s">
        <v>208</v>
      </c>
    </row>
    <row r="91" spans="1:6" x14ac:dyDescent="0.2">
      <c r="B91" s="85"/>
      <c r="C91" s="86"/>
      <c r="D91" s="87"/>
      <c r="E91" s="86"/>
    </row>
    <row r="92" spans="1:6" s="43" customFormat="1" x14ac:dyDescent="0.2">
      <c r="A92"/>
      <c r="B92" s="85" t="s">
        <v>312</v>
      </c>
      <c r="C92" s="85"/>
      <c r="D92" s="90">
        <f>D89-D90</f>
        <v>-24.086779438914846</v>
      </c>
      <c r="E92" s="85" t="s">
        <v>114</v>
      </c>
    </row>
    <row r="93" spans="1:6" ht="12" customHeight="1" x14ac:dyDescent="0.2">
      <c r="B93" s="91"/>
      <c r="C93" s="91"/>
      <c r="D93" s="86"/>
      <c r="E93" s="86"/>
    </row>
    <row r="94" spans="1:6" s="76" customFormat="1" x14ac:dyDescent="0.2">
      <c r="A94" t="s">
        <v>566</v>
      </c>
      <c r="B94" s="92" t="s">
        <v>315</v>
      </c>
      <c r="C94" s="92"/>
      <c r="D94" s="255">
        <f>D92/D89</f>
        <v>-2.1293529793176825E-2</v>
      </c>
      <c r="E94" s="92"/>
      <c r="F94" s="62" t="s">
        <v>313</v>
      </c>
    </row>
    <row r="95" spans="1:6" s="76" customFormat="1" x14ac:dyDescent="0.2">
      <c r="D95" s="77"/>
    </row>
    <row r="96" spans="1:6" s="76" customFormat="1" x14ac:dyDescent="0.2">
      <c r="B96" s="120" t="s">
        <v>517</v>
      </c>
      <c r="C96" s="120"/>
      <c r="D96" s="254">
        <f>(D55-D57)/D55</f>
        <v>-1.1418159637121316E-2</v>
      </c>
    </row>
    <row r="97" spans="1:10" s="73" customFormat="1" x14ac:dyDescent="0.2">
      <c r="A97" t="s">
        <v>569</v>
      </c>
      <c r="B97" s="73" t="s">
        <v>379</v>
      </c>
      <c r="D97" s="97">
        <f>((D68*D23)-D66)/D66</f>
        <v>0.67189851644807586</v>
      </c>
      <c r="E97" s="97">
        <f>D68/D66</f>
        <v>0.33437970328961519</v>
      </c>
      <c r="F97" s="168" t="s">
        <v>343</v>
      </c>
      <c r="J97" s="97"/>
    </row>
    <row r="98" spans="1:10" s="76" customFormat="1" x14ac:dyDescent="0.2">
      <c r="A98" t="s">
        <v>570</v>
      </c>
      <c r="B98" s="76" t="s">
        <v>380</v>
      </c>
      <c r="D98" s="77">
        <f>((D69*D23)-D66)/D66</f>
        <v>0.15487399064134055</v>
      </c>
      <c r="E98" s="77">
        <f>D69/D66</f>
        <v>0.2309747981282681</v>
      </c>
      <c r="F98" s="117" t="s">
        <v>343</v>
      </c>
    </row>
    <row r="99" spans="1:10" s="76" customFormat="1" x14ac:dyDescent="0.2">
      <c r="D99" s="77"/>
    </row>
    <row r="100" spans="1:10" s="76" customFormat="1" x14ac:dyDescent="0.2">
      <c r="A100" t="s">
        <v>571</v>
      </c>
      <c r="B100" s="76" t="s">
        <v>210</v>
      </c>
      <c r="D100" s="78">
        <f>D66/D68</f>
        <v>2.9906121399176953</v>
      </c>
      <c r="E100" s="76" t="s">
        <v>99</v>
      </c>
      <c r="F100" s="117" t="s">
        <v>344</v>
      </c>
    </row>
    <row r="101" spans="1:10" s="75" customFormat="1" x14ac:dyDescent="0.2">
      <c r="A101" t="s">
        <v>572</v>
      </c>
      <c r="B101" s="75" t="s">
        <v>211</v>
      </c>
      <c r="D101" s="79">
        <f>D66/D69</f>
        <v>4.3294766706308199</v>
      </c>
      <c r="E101" s="75" t="s">
        <v>99</v>
      </c>
      <c r="F101" s="169" t="s">
        <v>344</v>
      </c>
    </row>
    <row r="102" spans="1:10" s="76" customFormat="1" x14ac:dyDescent="0.2">
      <c r="D102" s="78"/>
    </row>
    <row r="103" spans="1:10" s="43" customFormat="1" x14ac:dyDescent="0.2">
      <c r="A103" s="43" t="s">
        <v>185</v>
      </c>
      <c r="D103" s="68"/>
    </row>
    <row r="104" spans="1:10" x14ac:dyDescent="0.2">
      <c r="A104" t="e">
        <f>A101+1</f>
        <v>#VALUE!</v>
      </c>
      <c r="B104" s="62" t="s">
        <v>186</v>
      </c>
      <c r="D104" s="47">
        <f>D5</f>
        <v>2839.8049940558699</v>
      </c>
      <c r="E104" t="s">
        <v>5</v>
      </c>
      <c r="F104" s="47">
        <f>F75</f>
        <v>0</v>
      </c>
    </row>
    <row r="105" spans="1:10" s="62" customFormat="1" x14ac:dyDescent="0.2">
      <c r="A105" t="e">
        <f>A104+1</f>
        <v>#VALUE!</v>
      </c>
      <c r="B105" s="62" t="s">
        <v>316</v>
      </c>
      <c r="D105" s="67">
        <f>((((((D$5*(1-D13))*(1-D14))))))</f>
        <v>2839.8049940558699</v>
      </c>
      <c r="E105" s="62" t="s">
        <v>5</v>
      </c>
      <c r="F105" s="62" t="s">
        <v>255</v>
      </c>
    </row>
    <row r="106" spans="1:10" s="134" customFormat="1" x14ac:dyDescent="0.2">
      <c r="A106"/>
      <c r="B106" s="62" t="s">
        <v>523</v>
      </c>
      <c r="D106" s="67">
        <f>D$105*(1+0)</f>
        <v>2839.8049940558699</v>
      </c>
      <c r="E106" s="50" t="s">
        <v>5</v>
      </c>
      <c r="F106" s="245" t="s">
        <v>490</v>
      </c>
    </row>
    <row r="107" spans="1:10" s="62" customFormat="1" x14ac:dyDescent="0.2">
      <c r="A107" t="e">
        <f>A105+1</f>
        <v>#VALUE!</v>
      </c>
      <c r="B107" s="62" t="s">
        <v>524</v>
      </c>
      <c r="D107" s="67">
        <f>D$105*(1+D28)</f>
        <v>2839.8049940558699</v>
      </c>
      <c r="E107" s="62" t="s">
        <v>5</v>
      </c>
      <c r="F107" s="62" t="s">
        <v>254</v>
      </c>
    </row>
    <row r="108" spans="1:10" s="62" customFormat="1" x14ac:dyDescent="0.2">
      <c r="A108" t="e">
        <f>A107+1</f>
        <v>#VALUE!</v>
      </c>
      <c r="B108" s="62" t="s">
        <v>525</v>
      </c>
      <c r="D108" s="67">
        <f>D$105*(1+D29)</f>
        <v>2839.8049940558699</v>
      </c>
      <c r="E108" s="62" t="s">
        <v>5</v>
      </c>
      <c r="F108" s="62" t="s">
        <v>254</v>
      </c>
    </row>
    <row r="109" spans="1:10" s="62" customFormat="1" x14ac:dyDescent="0.2">
      <c r="D109" s="67"/>
    </row>
    <row r="110" spans="1:10" s="62" customFormat="1" x14ac:dyDescent="0.2">
      <c r="D110" s="67"/>
    </row>
    <row r="111" spans="1:10" s="43" customFormat="1" x14ac:dyDescent="0.2">
      <c r="A111" t="e">
        <f>A108+1</f>
        <v>#VALUE!</v>
      </c>
      <c r="B111" s="43" t="s">
        <v>256</v>
      </c>
      <c r="D111" s="68">
        <f>(D104-D105)/D104</f>
        <v>0</v>
      </c>
    </row>
    <row r="112" spans="1:10" s="43" customFormat="1" x14ac:dyDescent="0.2">
      <c r="A112">
        <f>A110+1</f>
        <v>1</v>
      </c>
      <c r="B112" s="43" t="s">
        <v>522</v>
      </c>
      <c r="D112" s="68">
        <f>(D104-D106)/D104</f>
        <v>0</v>
      </c>
    </row>
    <row r="113" spans="1:6" s="43" customFormat="1" x14ac:dyDescent="0.2">
      <c r="A113" t="e">
        <f>A111+1</f>
        <v>#VALUE!</v>
      </c>
      <c r="B113" s="43" t="s">
        <v>257</v>
      </c>
      <c r="D113" s="68">
        <f>(D104-D107)/D104</f>
        <v>0</v>
      </c>
    </row>
    <row r="114" spans="1:6" s="43" customFormat="1" x14ac:dyDescent="0.2">
      <c r="A114" t="e">
        <f>A113+1</f>
        <v>#VALUE!</v>
      </c>
      <c r="B114" s="43" t="s">
        <v>258</v>
      </c>
      <c r="D114" s="68">
        <f>(D104-D108)/D104</f>
        <v>0</v>
      </c>
    </row>
    <row r="115" spans="1:6" x14ac:dyDescent="0.2">
      <c r="D115" s="47"/>
    </row>
    <row r="116" spans="1:6" s="62" customFormat="1" ht="13.5" customHeight="1" x14ac:dyDescent="0.2">
      <c r="A116" t="e">
        <f>A114+1</f>
        <v>#VALUE!</v>
      </c>
      <c r="B116" s="62" t="s">
        <v>187</v>
      </c>
      <c r="D116" s="67">
        <f>(D104*(D$17*(((1+D$19)+(POWER(1+D$19,D$23)))/2)))/100</f>
        <v>340.50227883756037</v>
      </c>
      <c r="E116" s="62" t="s">
        <v>98</v>
      </c>
      <c r="F116" s="62" t="s">
        <v>342</v>
      </c>
    </row>
    <row r="117" spans="1:6" s="62" customFormat="1" x14ac:dyDescent="0.2">
      <c r="A117">
        <f>A115+1</f>
        <v>1</v>
      </c>
      <c r="B117" s="62" t="s">
        <v>526</v>
      </c>
      <c r="D117" s="67">
        <f>(D106*(D$17*(((1+D$19)+(POWER(1+D$19,D$23)))/2))/100)-D31</f>
        <v>340.50227883756037</v>
      </c>
      <c r="E117" s="62" t="s">
        <v>98</v>
      </c>
      <c r="F117" s="62" t="s">
        <v>432</v>
      </c>
    </row>
    <row r="118" spans="1:6" s="62" customFormat="1" x14ac:dyDescent="0.2">
      <c r="A118" t="e">
        <f>A116+1</f>
        <v>#VALUE!</v>
      </c>
      <c r="B118" s="62" t="s">
        <v>526</v>
      </c>
      <c r="D118" s="67">
        <f>((D107*(D$17*(((1+D$19)+(POWER(1+D$19,D$23)))/2))/100)-D31)+(D126/D23)</f>
        <v>340.50227883756037</v>
      </c>
      <c r="E118" s="62" t="s">
        <v>98</v>
      </c>
      <c r="F118" s="62" t="s">
        <v>432</v>
      </c>
    </row>
    <row r="119" spans="1:6" s="62" customFormat="1" x14ac:dyDescent="0.2">
      <c r="A119" t="e">
        <f>A116+1</f>
        <v>#VALUE!</v>
      </c>
      <c r="B119" s="62" t="s">
        <v>317</v>
      </c>
      <c r="D119" s="67">
        <f>(D107*(D$17*(((1+D$19)+(POWER(1+D$19,D$23)))/2))/100)-D31</f>
        <v>340.50227883756037</v>
      </c>
      <c r="E119" s="62" t="s">
        <v>98</v>
      </c>
      <c r="F119" s="62" t="s">
        <v>432</v>
      </c>
    </row>
    <row r="120" spans="1:6" s="62" customFormat="1" x14ac:dyDescent="0.2">
      <c r="A120" t="e">
        <f>A119+1</f>
        <v>#VALUE!</v>
      </c>
      <c r="B120" s="62" t="s">
        <v>318</v>
      </c>
      <c r="D120" s="67">
        <f>(D108*(D$17*(((1+D$19)+(POWER(1+D$19,D$23)))/2))/100)-D31</f>
        <v>340.50227883756037</v>
      </c>
      <c r="E120" s="62" t="s">
        <v>98</v>
      </c>
      <c r="F120" s="62" t="s">
        <v>433</v>
      </c>
    </row>
    <row r="121" spans="1:6" x14ac:dyDescent="0.2">
      <c r="D121" s="47"/>
    </row>
    <row r="122" spans="1:6" s="43" customFormat="1" x14ac:dyDescent="0.2">
      <c r="A122" t="e">
        <f>A119+1</f>
        <v>#VALUE!</v>
      </c>
      <c r="B122" s="43" t="s">
        <v>527</v>
      </c>
      <c r="D122" s="56">
        <f>D116-D117</f>
        <v>0</v>
      </c>
      <c r="E122" s="43" t="s">
        <v>98</v>
      </c>
    </row>
    <row r="123" spans="1:6" s="43" customFormat="1" x14ac:dyDescent="0.2">
      <c r="A123" t="e">
        <f>A120+1</f>
        <v>#VALUE!</v>
      </c>
      <c r="B123" s="43" t="s">
        <v>260</v>
      </c>
      <c r="D123" s="56">
        <f>D116-D119</f>
        <v>0</v>
      </c>
      <c r="E123" s="43" t="s">
        <v>98</v>
      </c>
    </row>
    <row r="124" spans="1:6" s="43" customFormat="1" x14ac:dyDescent="0.2">
      <c r="A124" t="e">
        <f>A123+1</f>
        <v>#VALUE!</v>
      </c>
      <c r="B124" s="43" t="s">
        <v>259</v>
      </c>
      <c r="D124" s="56">
        <f>D116-D120</f>
        <v>0</v>
      </c>
      <c r="E124" s="43" t="s">
        <v>98</v>
      </c>
    </row>
    <row r="125" spans="1:6" s="62" customFormat="1" x14ac:dyDescent="0.2">
      <c r="D125" s="67"/>
    </row>
    <row r="126" spans="1:6" s="62" customFormat="1" x14ac:dyDescent="0.2">
      <c r="A126" t="e">
        <f>A124+1</f>
        <v>#VALUE!</v>
      </c>
      <c r="B126" s="62" t="s">
        <v>190</v>
      </c>
      <c r="D126" s="67">
        <f>SUM(H13:H14)</f>
        <v>0</v>
      </c>
      <c r="E126" s="62" t="s">
        <v>98</v>
      </c>
    </row>
    <row r="127" spans="1:6" s="62" customFormat="1" x14ac:dyDescent="0.2">
      <c r="D127" s="67"/>
    </row>
    <row r="128" spans="1:6" s="62" customFormat="1" x14ac:dyDescent="0.2">
      <c r="A128" t="e">
        <f>A126+1</f>
        <v>#VALUE!</v>
      </c>
      <c r="B128" s="62" t="s">
        <v>346</v>
      </c>
      <c r="D128" s="67">
        <f>D126+(D126*D34)</f>
        <v>0</v>
      </c>
      <c r="E128" s="62" t="s">
        <v>98</v>
      </c>
      <c r="F128" s="62" t="s">
        <v>173</v>
      </c>
    </row>
    <row r="129" spans="1:11" s="62" customFormat="1" x14ac:dyDescent="0.2">
      <c r="D129" s="67"/>
    </row>
    <row r="130" spans="1:11" s="62" customFormat="1" x14ac:dyDescent="0.2">
      <c r="A130" t="e">
        <f>A128+1</f>
        <v>#VALUE!</v>
      </c>
      <c r="B130" s="62" t="s">
        <v>306</v>
      </c>
      <c r="D130" s="72">
        <f>(PMT(D21+D19,D$23,D128,,0))*-1</f>
        <v>0</v>
      </c>
      <c r="F130" s="62" t="s">
        <v>192</v>
      </c>
      <c r="H130" s="72"/>
      <c r="K130" s="67"/>
    </row>
    <row r="131" spans="1:11" s="62" customFormat="1" x14ac:dyDescent="0.2">
      <c r="A131" t="e">
        <f>A130+1</f>
        <v>#VALUE!</v>
      </c>
      <c r="B131" s="62" t="s">
        <v>307</v>
      </c>
      <c r="D131" s="72">
        <f>(PMT(D22+D19,D$23,D128,,0))*-1</f>
        <v>0</v>
      </c>
      <c r="F131" s="62" t="s">
        <v>335</v>
      </c>
      <c r="H131" s="72"/>
      <c r="K131" s="67"/>
    </row>
    <row r="132" spans="1:11" s="62" customFormat="1" x14ac:dyDescent="0.2">
      <c r="D132" s="67"/>
    </row>
    <row r="133" spans="1:11" s="62" customFormat="1" hidden="1" x14ac:dyDescent="0.2">
      <c r="A133"/>
      <c r="B133" s="62" t="s">
        <v>188</v>
      </c>
      <c r="D133" s="94">
        <f>(D116*(POWER((1+D$18),D$23)))*D$23</f>
        <v>1702.5113941878019</v>
      </c>
      <c r="F133" s="62" t="s">
        <v>174</v>
      </c>
    </row>
    <row r="134" spans="1:11" s="62" customFormat="1" hidden="1" x14ac:dyDescent="0.2">
      <c r="A134"/>
      <c r="B134" s="62" t="s">
        <v>319</v>
      </c>
      <c r="D134" s="94">
        <f>(D119*(POWER((1+D$18),D$23)))*D$23</f>
        <v>1702.5113941878019</v>
      </c>
      <c r="F134" s="62" t="s">
        <v>174</v>
      </c>
    </row>
    <row r="135" spans="1:11" s="62" customFormat="1" hidden="1" x14ac:dyDescent="0.2">
      <c r="D135" s="67"/>
    </row>
    <row r="136" spans="1:11" s="62" customFormat="1" x14ac:dyDescent="0.2">
      <c r="A136" t="e">
        <f>A131+1</f>
        <v>#VALUE!</v>
      </c>
      <c r="B136" s="62" t="s">
        <v>310</v>
      </c>
      <c r="D136" s="67">
        <f>D128/D23</f>
        <v>0</v>
      </c>
      <c r="E136" s="62" t="s">
        <v>114</v>
      </c>
    </row>
    <row r="137" spans="1:11" x14ac:dyDescent="0.2">
      <c r="D137" s="47"/>
    </row>
    <row r="138" spans="1:11" x14ac:dyDescent="0.2">
      <c r="B138" s="80" t="s">
        <v>162</v>
      </c>
      <c r="C138" s="81"/>
      <c r="D138" s="82"/>
      <c r="E138" s="81"/>
    </row>
    <row r="139" spans="1:11" s="62" customFormat="1" x14ac:dyDescent="0.2">
      <c r="A139" t="e">
        <f>A136+1</f>
        <v>#VALUE!</v>
      </c>
      <c r="B139" s="65" t="s">
        <v>189</v>
      </c>
      <c r="C139" s="65"/>
      <c r="D139" s="66">
        <f>D116</f>
        <v>340.50227883756037</v>
      </c>
      <c r="E139" s="65" t="s">
        <v>114</v>
      </c>
    </row>
    <row r="140" spans="1:11" s="62" customFormat="1" x14ac:dyDescent="0.2">
      <c r="A140" t="e">
        <f>A139+1</f>
        <v>#VALUE!</v>
      </c>
      <c r="B140" s="65" t="s">
        <v>320</v>
      </c>
      <c r="C140" s="65"/>
      <c r="D140" s="66">
        <f>D119+D130</f>
        <v>340.50227883756037</v>
      </c>
      <c r="E140" s="65" t="s">
        <v>114</v>
      </c>
      <c r="F140" s="62" t="s">
        <v>209</v>
      </c>
    </row>
    <row r="141" spans="1:11" x14ac:dyDescent="0.2">
      <c r="B141" s="80"/>
      <c r="C141" s="81"/>
      <c r="D141" s="82"/>
      <c r="E141" s="81"/>
    </row>
    <row r="142" spans="1:11" s="43" customFormat="1" x14ac:dyDescent="0.2">
      <c r="A142" t="e">
        <f>A140+1</f>
        <v>#VALUE!</v>
      </c>
      <c r="B142" s="80" t="s">
        <v>321</v>
      </c>
      <c r="C142" s="80"/>
      <c r="D142" s="83">
        <f>D139-D140</f>
        <v>0</v>
      </c>
      <c r="E142" s="80" t="s">
        <v>114</v>
      </c>
    </row>
    <row r="143" spans="1:11" s="43" customFormat="1" x14ac:dyDescent="0.2">
      <c r="B143" s="80"/>
      <c r="C143" s="80"/>
      <c r="D143" s="83"/>
      <c r="E143" s="80"/>
    </row>
    <row r="144" spans="1:11" s="43" customFormat="1" x14ac:dyDescent="0.2">
      <c r="A144" t="e">
        <f>A142+1</f>
        <v>#VALUE!</v>
      </c>
      <c r="B144" s="80" t="s">
        <v>322</v>
      </c>
      <c r="C144" s="80"/>
      <c r="D144" s="84">
        <f>D142/D139</f>
        <v>0</v>
      </c>
      <c r="E144" s="80"/>
      <c r="F144" s="62" t="s">
        <v>313</v>
      </c>
    </row>
    <row r="145" spans="1:6" ht="13.5" customHeight="1" x14ac:dyDescent="0.2">
      <c r="D145" s="47"/>
    </row>
    <row r="146" spans="1:6" x14ac:dyDescent="0.2">
      <c r="B146" s="85" t="s">
        <v>163</v>
      </c>
      <c r="C146" s="86"/>
      <c r="D146" s="87"/>
      <c r="E146" s="86"/>
    </row>
    <row r="147" spans="1:6" s="62" customFormat="1" x14ac:dyDescent="0.2">
      <c r="A147" t="e">
        <f>A144+1</f>
        <v>#VALUE!</v>
      </c>
      <c r="B147" s="88" t="s">
        <v>314</v>
      </c>
      <c r="C147" s="88"/>
      <c r="D147" s="89">
        <f>IF((D$124/2)&gt;D$131,(D$124)/2,D$131)</f>
        <v>0</v>
      </c>
      <c r="E147" s="88"/>
    </row>
    <row r="148" spans="1:6" s="62" customFormat="1" x14ac:dyDescent="0.2">
      <c r="A148" t="e">
        <f>A147+1</f>
        <v>#VALUE!</v>
      </c>
      <c r="B148" s="88" t="s">
        <v>161</v>
      </c>
      <c r="C148" s="88"/>
      <c r="D148" s="89">
        <f>IF((D124/2)&gt;D131,D124/2,D124-D131)</f>
        <v>0</v>
      </c>
      <c r="E148" s="88"/>
    </row>
    <row r="149" spans="1:6" x14ac:dyDescent="0.2">
      <c r="B149" s="85"/>
      <c r="C149" s="86"/>
      <c r="D149" s="87"/>
      <c r="E149" s="86"/>
    </row>
    <row r="150" spans="1:6" s="62" customFormat="1" x14ac:dyDescent="0.2">
      <c r="A150" t="e">
        <f>A148+1</f>
        <v>#VALUE!</v>
      </c>
      <c r="B150" s="88" t="s">
        <v>189</v>
      </c>
      <c r="C150" s="88"/>
      <c r="D150" s="89">
        <f>D116</f>
        <v>340.50227883756037</v>
      </c>
      <c r="E150" s="88" t="s">
        <v>114</v>
      </c>
    </row>
    <row r="151" spans="1:6" s="62" customFormat="1" x14ac:dyDescent="0.2">
      <c r="A151" t="e">
        <f>A150+1</f>
        <v>#VALUE!</v>
      </c>
      <c r="B151" s="88" t="s">
        <v>320</v>
      </c>
      <c r="C151" s="88"/>
      <c r="D151" s="89">
        <f>D150-D148</f>
        <v>340.50227883756037</v>
      </c>
      <c r="E151" s="88" t="s">
        <v>114</v>
      </c>
      <c r="F151" s="62" t="s">
        <v>208</v>
      </c>
    </row>
    <row r="152" spans="1:6" x14ac:dyDescent="0.2">
      <c r="B152" s="85"/>
      <c r="C152" s="86"/>
      <c r="D152" s="87"/>
      <c r="E152" s="86"/>
    </row>
    <row r="153" spans="1:6" s="43" customFormat="1" x14ac:dyDescent="0.2">
      <c r="A153" t="e">
        <f>A150+1</f>
        <v>#VALUE!</v>
      </c>
      <c r="B153" s="85" t="s">
        <v>321</v>
      </c>
      <c r="C153" s="85"/>
      <c r="D153" s="90">
        <f>D150-D151</f>
        <v>0</v>
      </c>
      <c r="E153" s="85" t="s">
        <v>114</v>
      </c>
    </row>
    <row r="154" spans="1:6" ht="12" customHeight="1" x14ac:dyDescent="0.2">
      <c r="B154" s="91"/>
      <c r="C154" s="91"/>
      <c r="D154" s="86"/>
      <c r="E154" s="86"/>
    </row>
    <row r="155" spans="1:6" s="76" customFormat="1" x14ac:dyDescent="0.2">
      <c r="A155" t="e">
        <f>A153+1</f>
        <v>#VALUE!</v>
      </c>
      <c r="B155" s="92" t="s">
        <v>322</v>
      </c>
      <c r="C155" s="92"/>
      <c r="D155" s="93">
        <f>D148/D150</f>
        <v>0</v>
      </c>
      <c r="E155" s="92"/>
      <c r="F155" s="62" t="s">
        <v>313</v>
      </c>
    </row>
    <row r="156" spans="1:6" s="76" customFormat="1" x14ac:dyDescent="0.2">
      <c r="B156" s="76" t="s">
        <v>528</v>
      </c>
      <c r="D156" s="77">
        <f>(D116-D118)/D116</f>
        <v>0</v>
      </c>
    </row>
    <row r="157" spans="1:6" s="73" customFormat="1" x14ac:dyDescent="0.2">
      <c r="A157" t="e">
        <f>A155+1</f>
        <v>#VALUE!</v>
      </c>
      <c r="B157" s="73" t="s">
        <v>379</v>
      </c>
      <c r="D157" s="97" t="e">
        <f>((D130*D23)-D128)/D128</f>
        <v>#DIV/0!</v>
      </c>
    </row>
    <row r="158" spans="1:6" s="76" customFormat="1" x14ac:dyDescent="0.2">
      <c r="A158" t="e">
        <f>A157+1</f>
        <v>#VALUE!</v>
      </c>
      <c r="B158" s="76" t="s">
        <v>380</v>
      </c>
      <c r="D158" s="77" t="e">
        <f>((D131*D23)-D128)/D128</f>
        <v>#DIV/0!</v>
      </c>
    </row>
    <row r="159" spans="1:6" s="76" customFormat="1" x14ac:dyDescent="0.2">
      <c r="D159" s="77"/>
    </row>
    <row r="160" spans="1:6" s="76" customFormat="1" x14ac:dyDescent="0.2">
      <c r="A160" t="e">
        <f>A158+1</f>
        <v>#VALUE!</v>
      </c>
      <c r="B160" s="76" t="s">
        <v>210</v>
      </c>
      <c r="D160" s="78" t="e">
        <f>D128/D130</f>
        <v>#DIV/0!</v>
      </c>
      <c r="E160" s="76" t="s">
        <v>99</v>
      </c>
    </row>
    <row r="161" spans="1:6" s="75" customFormat="1" x14ac:dyDescent="0.2">
      <c r="A161" t="e">
        <f>A160+1</f>
        <v>#VALUE!</v>
      </c>
      <c r="B161" s="75" t="s">
        <v>211</v>
      </c>
      <c r="D161" s="79" t="e">
        <f>D128/D131</f>
        <v>#DIV/0!</v>
      </c>
      <c r="E161" s="75" t="s">
        <v>99</v>
      </c>
    </row>
    <row r="162" spans="1:6" s="76" customFormat="1" x14ac:dyDescent="0.2">
      <c r="D162" s="77"/>
    </row>
    <row r="163" spans="1:6" s="43" customFormat="1" x14ac:dyDescent="0.2">
      <c r="A163" s="43" t="s">
        <v>193</v>
      </c>
      <c r="D163" s="68"/>
    </row>
    <row r="164" spans="1:6" x14ac:dyDescent="0.2">
      <c r="A164" t="e">
        <f>A161+1</f>
        <v>#VALUE!</v>
      </c>
      <c r="B164" s="62" t="s">
        <v>194</v>
      </c>
      <c r="D164" s="47">
        <f>D104+D39</f>
        <v>31901.90100277877</v>
      </c>
      <c r="E164" t="s">
        <v>5</v>
      </c>
      <c r="F164" s="47">
        <f>F136</f>
        <v>0</v>
      </c>
    </row>
    <row r="165" spans="1:6" s="62" customFormat="1" x14ac:dyDescent="0.2">
      <c r="A165" t="e">
        <f>A164+1</f>
        <v>#VALUE!</v>
      </c>
      <c r="B165" s="62" t="s">
        <v>323</v>
      </c>
      <c r="D165" s="67" t="e">
        <f>D105+#REF!</f>
        <v>#REF!</v>
      </c>
      <c r="E165" s="62" t="s">
        <v>5</v>
      </c>
      <c r="F165" s="62" t="s">
        <v>195</v>
      </c>
    </row>
    <row r="166" spans="1:6" s="62" customFormat="1" x14ac:dyDescent="0.2">
      <c r="A166" t="e">
        <f>A165+1</f>
        <v>#VALUE!</v>
      </c>
      <c r="B166" s="62" t="s">
        <v>324</v>
      </c>
      <c r="D166" s="67">
        <f>D47+D107</f>
        <v>31553.155850674095</v>
      </c>
      <c r="E166" s="62" t="s">
        <v>5</v>
      </c>
      <c r="F166" s="62" t="s">
        <v>196</v>
      </c>
    </row>
    <row r="167" spans="1:6" s="62" customFormat="1" x14ac:dyDescent="0.2">
      <c r="A167" t="e">
        <f>A166+1</f>
        <v>#VALUE!</v>
      </c>
      <c r="B167" s="62" t="s">
        <v>325</v>
      </c>
      <c r="D167" s="67">
        <f>D48+D108</f>
        <v>31529.906173867115</v>
      </c>
      <c r="E167" s="62" t="s">
        <v>5</v>
      </c>
      <c r="F167" s="62" t="s">
        <v>196</v>
      </c>
    </row>
    <row r="168" spans="1:6" s="62" customFormat="1" x14ac:dyDescent="0.2">
      <c r="D168" s="67"/>
    </row>
    <row r="169" spans="1:6" s="43" customFormat="1" x14ac:dyDescent="0.2">
      <c r="A169" t="e">
        <f>A167+1</f>
        <v>#VALUE!</v>
      </c>
      <c r="B169" s="43" t="s">
        <v>264</v>
      </c>
      <c r="D169" s="68" t="e">
        <f>(D164-D165)/D164</f>
        <v>#REF!</v>
      </c>
    </row>
    <row r="170" spans="1:6" s="43" customFormat="1" x14ac:dyDescent="0.2">
      <c r="A170" t="e">
        <f>A169+1</f>
        <v>#VALUE!</v>
      </c>
      <c r="B170" s="43" t="s">
        <v>262</v>
      </c>
      <c r="D170" s="68">
        <f>(D164-D166)/D164</f>
        <v>1.0931798455342775E-2</v>
      </c>
    </row>
    <row r="171" spans="1:6" s="43" customFormat="1" x14ac:dyDescent="0.2">
      <c r="A171" t="e">
        <f>A170+1</f>
        <v>#VALUE!</v>
      </c>
      <c r="B171" s="43" t="s">
        <v>263</v>
      </c>
      <c r="D171" s="68">
        <f>(D164-D167)/D164</f>
        <v>1.1660585019032331E-2</v>
      </c>
    </row>
    <row r="172" spans="1:6" x14ac:dyDescent="0.2">
      <c r="D172" s="47"/>
    </row>
    <row r="173" spans="1:6" s="62" customFormat="1" ht="13.5" customHeight="1" x14ac:dyDescent="0.2">
      <c r="A173" t="e">
        <f>A171+1</f>
        <v>#VALUE!</v>
      </c>
      <c r="B173" s="62" t="s">
        <v>197</v>
      </c>
      <c r="D173" s="67">
        <f>D116+D55</f>
        <v>1471.6806073189696</v>
      </c>
      <c r="E173" s="62" t="s">
        <v>98</v>
      </c>
      <c r="F173" s="67">
        <f>F141</f>
        <v>0</v>
      </c>
    </row>
    <row r="174" spans="1:6" s="62" customFormat="1" x14ac:dyDescent="0.2">
      <c r="A174" t="e">
        <f>A173+1</f>
        <v>#VALUE!</v>
      </c>
      <c r="B174" s="62" t="s">
        <v>326</v>
      </c>
      <c r="D174" s="67">
        <f>D119+D58</f>
        <v>1458.1064673771928</v>
      </c>
      <c r="E174" s="62" t="s">
        <v>98</v>
      </c>
      <c r="F174" s="62" t="s">
        <v>195</v>
      </c>
    </row>
    <row r="175" spans="1:6" x14ac:dyDescent="0.2">
      <c r="A175" t="e">
        <f>A174+1</f>
        <v>#VALUE!</v>
      </c>
      <c r="B175" s="62" t="s">
        <v>327</v>
      </c>
      <c r="D175" s="67">
        <f>D120+D59</f>
        <v>1457.2015247144075</v>
      </c>
      <c r="E175" s="62" t="s">
        <v>98</v>
      </c>
    </row>
    <row r="176" spans="1:6" x14ac:dyDescent="0.2">
      <c r="B176" s="62"/>
      <c r="D176" s="47"/>
    </row>
    <row r="177" spans="1:11" s="43" customFormat="1" x14ac:dyDescent="0.2">
      <c r="A177" t="e">
        <f>A175+1</f>
        <v>#VALUE!</v>
      </c>
      <c r="B177" s="43" t="s">
        <v>260</v>
      </c>
      <c r="D177" s="56">
        <f>D173-D174</f>
        <v>13.574139941776821</v>
      </c>
      <c r="E177" s="43" t="s">
        <v>98</v>
      </c>
    </row>
    <row r="178" spans="1:11" s="62" customFormat="1" x14ac:dyDescent="0.2">
      <c r="A178" t="e">
        <f>A177+1</f>
        <v>#VALUE!</v>
      </c>
      <c r="B178" s="43" t="s">
        <v>259</v>
      </c>
      <c r="D178" s="56">
        <f>D173-D175</f>
        <v>14.479082604562109</v>
      </c>
      <c r="E178" s="43" t="s">
        <v>98</v>
      </c>
    </row>
    <row r="179" spans="1:11" s="62" customFormat="1" x14ac:dyDescent="0.2">
      <c r="B179" s="43"/>
      <c r="D179" s="67"/>
    </row>
    <row r="180" spans="1:11" s="62" customFormat="1" x14ac:dyDescent="0.2">
      <c r="A180" t="e">
        <f>A178+1</f>
        <v>#VALUE!</v>
      </c>
      <c r="B180" s="62" t="s">
        <v>198</v>
      </c>
      <c r="D180" s="67">
        <f>D126+D64</f>
        <v>141.5</v>
      </c>
      <c r="E180" s="62" t="s">
        <v>98</v>
      </c>
    </row>
    <row r="181" spans="1:11" s="62" customFormat="1" ht="12" customHeight="1" x14ac:dyDescent="0.2">
      <c r="D181" s="67"/>
    </row>
    <row r="182" spans="1:11" s="62" customFormat="1" x14ac:dyDescent="0.2">
      <c r="A182" t="e">
        <f>A180+1</f>
        <v>#VALUE!</v>
      </c>
      <c r="B182" s="62" t="s">
        <v>346</v>
      </c>
      <c r="D182" s="67">
        <f>D180+(D180*D34)</f>
        <v>166.97</v>
      </c>
      <c r="E182" s="62" t="s">
        <v>98</v>
      </c>
      <c r="F182" s="62" t="s">
        <v>173</v>
      </c>
    </row>
    <row r="183" spans="1:11" s="62" customFormat="1" x14ac:dyDescent="0.2">
      <c r="D183" s="67"/>
    </row>
    <row r="184" spans="1:11" s="62" customFormat="1" x14ac:dyDescent="0.2">
      <c r="A184" t="e">
        <f>A182+1</f>
        <v>#VALUE!</v>
      </c>
      <c r="B184" s="62" t="s">
        <v>306</v>
      </c>
      <c r="D184" s="72">
        <f>D130+D68</f>
        <v>55.831379058267046</v>
      </c>
      <c r="F184" s="62" t="s">
        <v>212</v>
      </c>
      <c r="H184" s="72"/>
      <c r="K184" s="67"/>
    </row>
    <row r="185" spans="1:11" s="62" customFormat="1" x14ac:dyDescent="0.2">
      <c r="A185" t="e">
        <f>A184+1</f>
        <v>#VALUE!</v>
      </c>
      <c r="B185" s="62" t="s">
        <v>307</v>
      </c>
      <c r="D185" s="72">
        <f>D131+D69</f>
        <v>38.565862043476926</v>
      </c>
      <c r="F185" s="62" t="s">
        <v>213</v>
      </c>
      <c r="H185" s="72"/>
      <c r="K185" s="67"/>
    </row>
    <row r="186" spans="1:11" s="62" customFormat="1" x14ac:dyDescent="0.2">
      <c r="D186" s="67"/>
    </row>
    <row r="187" spans="1:11" s="62" customFormat="1" hidden="1" x14ac:dyDescent="0.2">
      <c r="B187" s="62" t="s">
        <v>201</v>
      </c>
      <c r="D187" s="94">
        <f>(D173*(POWER((1+D$18),D$23)))*D$23</f>
        <v>7358.4030365948474</v>
      </c>
      <c r="F187" s="62" t="s">
        <v>199</v>
      </c>
    </row>
    <row r="188" spans="1:11" s="62" customFormat="1" hidden="1" x14ac:dyDescent="0.2">
      <c r="B188" s="62" t="s">
        <v>328</v>
      </c>
      <c r="D188" s="94">
        <f>(D174*(POWER((1+D$18),D$23)))*D$23</f>
        <v>7290.5323368859636</v>
      </c>
      <c r="F188" s="62" t="s">
        <v>199</v>
      </c>
    </row>
    <row r="189" spans="1:11" s="62" customFormat="1" hidden="1" x14ac:dyDescent="0.2">
      <c r="D189" s="67"/>
    </row>
    <row r="190" spans="1:11" s="62" customFormat="1" hidden="1" x14ac:dyDescent="0.2">
      <c r="B190" s="62" t="s">
        <v>310</v>
      </c>
      <c r="D190" s="67">
        <f>D182/D23</f>
        <v>33.393999999999998</v>
      </c>
      <c r="E190" s="62" t="s">
        <v>114</v>
      </c>
    </row>
    <row r="191" spans="1:11" hidden="1" x14ac:dyDescent="0.2">
      <c r="D191" s="47"/>
    </row>
    <row r="192" spans="1:11" x14ac:dyDescent="0.2">
      <c r="B192" s="100" t="s">
        <v>162</v>
      </c>
      <c r="C192" s="101"/>
      <c r="D192" s="102"/>
      <c r="E192" s="101"/>
    </row>
    <row r="193" spans="1:10" s="62" customFormat="1" x14ac:dyDescent="0.2">
      <c r="A193" t="e">
        <f>A185+1</f>
        <v>#VALUE!</v>
      </c>
      <c r="B193" s="103" t="s">
        <v>200</v>
      </c>
      <c r="C193" s="103"/>
      <c r="D193" s="104">
        <f>D173</f>
        <v>1471.6806073189696</v>
      </c>
      <c r="E193" s="103" t="s">
        <v>114</v>
      </c>
    </row>
    <row r="194" spans="1:10" s="62" customFormat="1" x14ac:dyDescent="0.2">
      <c r="A194" t="e">
        <f>A193+1</f>
        <v>#VALUE!</v>
      </c>
      <c r="B194" s="103" t="s">
        <v>329</v>
      </c>
      <c r="C194" s="103"/>
      <c r="D194" s="104">
        <f>D174+D184</f>
        <v>1513.9378464354597</v>
      </c>
      <c r="E194" s="103" t="s">
        <v>114</v>
      </c>
      <c r="F194" s="62" t="s">
        <v>209</v>
      </c>
    </row>
    <row r="195" spans="1:10" x14ac:dyDescent="0.2">
      <c r="B195" s="105"/>
      <c r="C195" s="101"/>
      <c r="D195" s="102"/>
      <c r="E195" s="101"/>
    </row>
    <row r="196" spans="1:10" s="43" customFormat="1" x14ac:dyDescent="0.2">
      <c r="A196" t="e">
        <f>A194+1</f>
        <v>#VALUE!</v>
      </c>
      <c r="B196" s="105" t="s">
        <v>330</v>
      </c>
      <c r="C196" s="105"/>
      <c r="D196" s="106">
        <f>D193-D194</f>
        <v>-42.257239116490155</v>
      </c>
      <c r="E196" s="105" t="s">
        <v>114</v>
      </c>
    </row>
    <row r="197" spans="1:10" s="43" customFormat="1" x14ac:dyDescent="0.2">
      <c r="B197" s="105"/>
      <c r="C197" s="105"/>
      <c r="D197" s="106"/>
      <c r="E197" s="105"/>
      <c r="J197" s="43" t="s">
        <v>215</v>
      </c>
    </row>
    <row r="198" spans="1:10" s="43" customFormat="1" x14ac:dyDescent="0.2">
      <c r="A198" t="e">
        <f>A196+1</f>
        <v>#VALUE!</v>
      </c>
      <c r="B198" s="105" t="s">
        <v>331</v>
      </c>
      <c r="C198" s="105"/>
      <c r="D198" s="107">
        <f>D196/D193</f>
        <v>-2.8713593769148168E-2</v>
      </c>
      <c r="E198" s="105"/>
      <c r="F198" s="62" t="s">
        <v>313</v>
      </c>
      <c r="J198" s="117" t="str">
        <f>IF(D198&lt;0,"Yes","No")</f>
        <v>Yes</v>
      </c>
    </row>
    <row r="199" spans="1:10" ht="13.5" customHeight="1" x14ac:dyDescent="0.2">
      <c r="D199" s="47"/>
    </row>
    <row r="200" spans="1:10" x14ac:dyDescent="0.2">
      <c r="B200" s="108" t="s">
        <v>163</v>
      </c>
      <c r="C200" s="109"/>
      <c r="D200" s="110"/>
      <c r="E200" s="109"/>
    </row>
    <row r="201" spans="1:10" s="62" customFormat="1" x14ac:dyDescent="0.2">
      <c r="A201" t="e">
        <f>A198+1</f>
        <v>#VALUE!</v>
      </c>
      <c r="B201" s="111" t="s">
        <v>314</v>
      </c>
      <c r="C201" s="111"/>
      <c r="D201" s="112">
        <f>IF((D177/2)&gt;D185,D177/2,D185)</f>
        <v>38.565862043476926</v>
      </c>
      <c r="E201" s="111"/>
    </row>
    <row r="202" spans="1:10" s="62" customFormat="1" x14ac:dyDescent="0.2">
      <c r="A202" t="e">
        <f>A201+1</f>
        <v>#VALUE!</v>
      </c>
      <c r="B202" s="111" t="s">
        <v>161</v>
      </c>
      <c r="C202" s="111"/>
      <c r="D202" s="112">
        <f>D178-D201</f>
        <v>-24.086779438914817</v>
      </c>
      <c r="E202" s="111"/>
    </row>
    <row r="203" spans="1:10" x14ac:dyDescent="0.2">
      <c r="B203" s="108"/>
      <c r="C203" s="109"/>
      <c r="D203" s="110"/>
      <c r="E203" s="109"/>
    </row>
    <row r="204" spans="1:10" s="62" customFormat="1" x14ac:dyDescent="0.2">
      <c r="A204" t="e">
        <f>A201+1</f>
        <v>#VALUE!</v>
      </c>
      <c r="B204" s="111" t="s">
        <v>200</v>
      </c>
      <c r="C204" s="111"/>
      <c r="D204" s="112">
        <f>D173</f>
        <v>1471.6806073189696</v>
      </c>
      <c r="E204" s="111" t="s">
        <v>114</v>
      </c>
    </row>
    <row r="205" spans="1:10" s="62" customFormat="1" x14ac:dyDescent="0.2">
      <c r="A205" t="e">
        <f>A204+1</f>
        <v>#VALUE!</v>
      </c>
      <c r="B205" s="111" t="s">
        <v>329</v>
      </c>
      <c r="C205" s="111"/>
      <c r="D205" s="112">
        <f>D204-D202</f>
        <v>1495.7673867578844</v>
      </c>
      <c r="E205" s="111" t="s">
        <v>114</v>
      </c>
      <c r="F205" s="62" t="s">
        <v>208</v>
      </c>
    </row>
    <row r="206" spans="1:10" x14ac:dyDescent="0.2">
      <c r="B206" s="108"/>
      <c r="C206" s="109"/>
      <c r="D206" s="110"/>
      <c r="E206" s="109"/>
    </row>
    <row r="207" spans="1:10" s="43" customFormat="1" x14ac:dyDescent="0.2">
      <c r="A207" t="e">
        <f>A204+1</f>
        <v>#VALUE!</v>
      </c>
      <c r="B207" s="108" t="s">
        <v>332</v>
      </c>
      <c r="C207" s="108"/>
      <c r="D207" s="113">
        <f>D204-D205</f>
        <v>-24.086779438914846</v>
      </c>
      <c r="E207" s="108" t="s">
        <v>114</v>
      </c>
    </row>
    <row r="208" spans="1:10" ht="12" customHeight="1" x14ac:dyDescent="0.2">
      <c r="B208" s="114"/>
      <c r="C208" s="114"/>
      <c r="D208" s="109"/>
      <c r="E208" s="109"/>
      <c r="J208" s="118" t="s">
        <v>215</v>
      </c>
    </row>
    <row r="209" spans="1:10" s="76" customFormat="1" x14ac:dyDescent="0.2">
      <c r="A209" t="e">
        <f>A207+1</f>
        <v>#VALUE!</v>
      </c>
      <c r="B209" s="115" t="s">
        <v>333</v>
      </c>
      <c r="C209" s="115"/>
      <c r="D209" s="116">
        <f>D207/D204</f>
        <v>-1.6366852508028135E-2</v>
      </c>
      <c r="E209" s="115"/>
      <c r="F209" s="62" t="s">
        <v>313</v>
      </c>
      <c r="J209" s="119" t="str">
        <f>IF(D209&lt;0,"Yes","No")</f>
        <v>Yes</v>
      </c>
    </row>
    <row r="210" spans="1:10" s="76" customFormat="1" x14ac:dyDescent="0.2">
      <c r="D210" s="77"/>
    </row>
    <row r="211" spans="1:10" s="76" customFormat="1" x14ac:dyDescent="0.2">
      <c r="D211" s="77"/>
      <c r="J211" s="120" t="s">
        <v>214</v>
      </c>
    </row>
    <row r="212" spans="1:10" s="73" customFormat="1" x14ac:dyDescent="0.2">
      <c r="A212" s="73">
        <v>110</v>
      </c>
      <c r="B212" s="73" t="s">
        <v>379</v>
      </c>
      <c r="D212" s="97">
        <f>(((D184*D23))-D182)/D182</f>
        <v>0.67189851644807586</v>
      </c>
      <c r="J212" s="121" t="str">
        <f>IF(D212&gt;D$21,"Yes","No")</f>
        <v>Yes</v>
      </c>
    </row>
    <row r="213" spans="1:10" s="76" customFormat="1" x14ac:dyDescent="0.2">
      <c r="A213" s="76">
        <v>111</v>
      </c>
      <c r="B213" s="76" t="s">
        <v>380</v>
      </c>
      <c r="D213" s="77">
        <f>((D185*D23)-D182)/D182</f>
        <v>0.15487399064134055</v>
      </c>
      <c r="J213" s="119" t="str">
        <f>IF(D213&gt;D$21,"Yes","No")</f>
        <v>No</v>
      </c>
    </row>
    <row r="214" spans="1:10" s="76" customFormat="1" x14ac:dyDescent="0.2">
      <c r="D214" s="77"/>
    </row>
    <row r="215" spans="1:10" s="76" customFormat="1" x14ac:dyDescent="0.2">
      <c r="A215" s="76">
        <v>112</v>
      </c>
      <c r="B215" s="76" t="s">
        <v>210</v>
      </c>
      <c r="D215" s="78">
        <f>D182/D184</f>
        <v>2.9906121399176953</v>
      </c>
      <c r="E215" s="76" t="s">
        <v>99</v>
      </c>
    </row>
    <row r="216" spans="1:10" s="75" customFormat="1" x14ac:dyDescent="0.2">
      <c r="A216" s="75">
        <v>113</v>
      </c>
      <c r="B216" s="75" t="s">
        <v>211</v>
      </c>
      <c r="D216" s="79">
        <f>D182/D185</f>
        <v>4.3294766706308199</v>
      </c>
      <c r="E216" s="75" t="s">
        <v>99</v>
      </c>
    </row>
    <row r="218" spans="1:10" s="43" customFormat="1" x14ac:dyDescent="0.2">
      <c r="D218" s="68"/>
    </row>
    <row r="219" spans="1:10" x14ac:dyDescent="0.2">
      <c r="B219" s="43" t="s">
        <v>239</v>
      </c>
      <c r="C219" t="str">
        <f>CONCATENATE(C7,C8,C9,C10,C11,C12)</f>
        <v>--Loft top-up loft insulation (150 to 270mm), 50% client funded---</v>
      </c>
    </row>
    <row r="220" spans="1:10" x14ac:dyDescent="0.2">
      <c r="B220" s="43" t="s">
        <v>240</v>
      </c>
      <c r="C220" t="str">
        <f>CONCATENATE(C13,C14)</f>
        <v>--</v>
      </c>
    </row>
    <row r="222" spans="1:10" x14ac:dyDescent="0.2">
      <c r="B222" s="43" t="s">
        <v>241</v>
      </c>
      <c r="C222" t="str">
        <f>CONCATENATE(C7,C8,C9,C10,C11,C12,C13,C14)</f>
        <v>--Loft top-up loft insulation (150 to 270mm), 50% client funded-----</v>
      </c>
    </row>
  </sheetData>
  <dataValidations count="5">
    <dataValidation type="list" allowBlank="1" showInputMessage="1" showErrorMessage="1" sqref="C81:C84 C94:C96 C155:C156 C162:C163 C102:C103 C218 C142:C145 C196:C199 C209:C216">
      <formula1>$B$278:$B$280</formula1>
    </dataValidation>
    <dataValidation type="list" allowBlank="1" showInputMessage="1" showErrorMessage="1" sqref="C85:C92 C200:C207 C192:C195 C77:C80 C146:C153 C138:C141">
      <formula1>$B$301:$B$303</formula1>
    </dataValidation>
    <dataValidation type="list" allowBlank="1" showInputMessage="1" showErrorMessage="1" sqref="C104:C137 C38:C76 C97:C101 C164:C191 C157:C161">
      <formula1>$B$277:$B$279</formula1>
    </dataValidation>
    <dataValidation type="list" allowBlank="1" showInputMessage="1" showErrorMessage="1" sqref="C35">
      <formula1>$B$239:$B$241</formula1>
    </dataValidation>
    <dataValidation type="list" allowBlank="1" showInputMessage="1" showErrorMessage="1" sqref="C37">
      <formula1>$B$249</formula1>
    </dataValidation>
  </dataValidations>
  <pageMargins left="0.7" right="0.7" top="0.75" bottom="0.75" header="0.3" footer="0.3"/>
  <pageSetup paperSize="9" orientation="portrait" horizontalDpi="4294967295" verticalDpi="0" r:id="rId1"/>
  <drawing r:id="rId2"/>
  <extLst>
    <ext xmlns:x14="http://schemas.microsoft.com/office/spreadsheetml/2009/9/main" uri="{CCE6A557-97BC-4b89-ADB6-D9C93CAAB3DF}">
      <x14:dataValidations xmlns:xm="http://schemas.microsoft.com/office/excel/2006/main" count="29">
        <x14:dataValidation type="list" allowBlank="1" showInputMessage="1" showErrorMessage="1">
          <x14:formula1>
            <xm:f>Variables!$B$238:$B$240</xm:f>
          </x14:formula1>
          <xm:sqref>C36</xm:sqref>
        </x14:dataValidation>
        <x14:dataValidation type="list" allowBlank="1" showInputMessage="1" showErrorMessage="1">
          <x14:formula1>
            <xm:f>Variables!$B$176:$B$186</xm:f>
          </x14:formula1>
          <xm:sqref>C23</xm:sqref>
        </x14:dataValidation>
        <x14:dataValidation type="list" allowBlank="1" showInputMessage="1" showErrorMessage="1">
          <x14:formula1>
            <xm:f>Variables!$B$96:$B$107</xm:f>
          </x14:formula1>
          <xm:sqref>C16</xm:sqref>
        </x14:dataValidation>
        <x14:dataValidation type="list" allowBlank="1" showInputMessage="1" showErrorMessage="1">
          <x14:formula1>
            <xm:f>Variables!$B$141:$B$145</xm:f>
          </x14:formula1>
          <xm:sqref>C18</xm:sqref>
        </x14:dataValidation>
        <x14:dataValidation type="list" allowBlank="1" showInputMessage="1" showErrorMessage="1">
          <x14:formula1>
            <xm:f>Variables!$B$148:$B$151</xm:f>
          </x14:formula1>
          <xm:sqref>C19</xm:sqref>
        </x14:dataValidation>
        <x14:dataValidation type="list" allowBlank="1" showInputMessage="1" showErrorMessage="1">
          <x14:formula1>
            <xm:f>Variables!$B$221:$B$223</xm:f>
          </x14:formula1>
          <xm:sqref>C31</xm:sqref>
        </x14:dataValidation>
        <x14:dataValidation type="list" allowBlank="1" showInputMessage="1" showErrorMessage="1">
          <x14:formula1>
            <xm:f>Variables!$B$226:$B$228</xm:f>
          </x14:formula1>
          <xm:sqref>C32</xm:sqref>
        </x14:dataValidation>
        <x14:dataValidation type="list" allowBlank="1" showInputMessage="1" showErrorMessage="1">
          <x14:formula1>
            <xm:f>Variables!$B$243</xm:f>
          </x14:formula1>
          <xm:sqref>C33</xm:sqref>
        </x14:dataValidation>
        <x14:dataValidation type="list" allowBlank="1" showInputMessage="1" showErrorMessage="1">
          <x14:formula1>
            <xm:f>Variables!$B$80:$B$80</xm:f>
          </x14:formula1>
          <xm:sqref>C3</xm:sqref>
        </x14:dataValidation>
        <x14:dataValidation type="list" allowBlank="1" showInputMessage="1" showErrorMessage="1">
          <x14:formula1>
            <xm:f>Variables!$B$16:$B$21</xm:f>
          </x14:formula1>
          <xm:sqref>C7</xm:sqref>
        </x14:dataValidation>
        <x14:dataValidation type="list" allowBlank="1" showInputMessage="1" showErrorMessage="1">
          <x14:formula1>
            <xm:f>Variables!$B$43:$B$49</xm:f>
          </x14:formula1>
          <xm:sqref>C9</xm:sqref>
        </x14:dataValidation>
        <x14:dataValidation type="list" allowBlank="1" showInputMessage="1" showErrorMessage="1">
          <x14:formula1>
            <xm:f>Variables!$B$89:$B$93</xm:f>
          </x14:formula1>
          <xm:sqref>C14</xm:sqref>
        </x14:dataValidation>
        <x14:dataValidation type="list" allowBlank="1" showInputMessage="1" showErrorMessage="1">
          <x14:formula1>
            <xm:f>Variables!$B$52:$B$55</xm:f>
          </x14:formula1>
          <xm:sqref>C10</xm:sqref>
        </x14:dataValidation>
        <x14:dataValidation type="list" allowBlank="1" showInputMessage="1" showErrorMessage="1">
          <x14:formula1>
            <xm:f>Variables!$B$72:$B$76</xm:f>
          </x14:formula1>
          <xm:sqref>C12</xm:sqref>
        </x14:dataValidation>
        <x14:dataValidation type="list" allowBlank="1" showInputMessage="1" showErrorMessage="1">
          <x14:formula1>
            <xm:f>Variables!$B$231:$B$234</xm:f>
          </x14:formula1>
          <xm:sqref>C34</xm:sqref>
        </x14:dataValidation>
        <x14:dataValidation type="list" allowBlank="1" showInputMessage="1" showErrorMessage="1">
          <x14:formula1>
            <xm:f>Variables!$B$11:$B$13</xm:f>
          </x14:formula1>
          <xm:sqref>C5</xm:sqref>
        </x14:dataValidation>
        <x14:dataValidation type="list" allowBlank="1" showInputMessage="1" showErrorMessage="1">
          <x14:formula1>
            <xm:f>Variables!$B$111:$B$122</xm:f>
          </x14:formula1>
          <xm:sqref>C17</xm:sqref>
        </x14:dataValidation>
        <x14:dataValidation type="list" allowBlank="1" showInputMessage="1" showErrorMessage="1">
          <x14:formula1>
            <xm:f>Variables!$B$199:$B$200</xm:f>
          </x14:formula1>
          <xm:sqref>C24</xm:sqref>
        </x14:dataValidation>
        <x14:dataValidation type="list" allowBlank="1" showInputMessage="1" showErrorMessage="1">
          <x14:formula1>
            <xm:f>Variables!$B$159:$B$162</xm:f>
          </x14:formula1>
          <xm:sqref>C21</xm:sqref>
        </x14:dataValidation>
        <x14:dataValidation type="list" allowBlank="1" showInputMessage="1" showErrorMessage="1">
          <x14:formula1>
            <xm:f>Variables!$B$166:$B$173</xm:f>
          </x14:formula1>
          <xm:sqref>C22</xm:sqref>
        </x14:dataValidation>
        <x14:dataValidation type="list" allowBlank="1" showInputMessage="1" showErrorMessage="1">
          <x14:formula1>
            <xm:f>Variables!$B$59:$B$69</xm:f>
          </x14:formula1>
          <xm:sqref>C11</xm:sqref>
        </x14:dataValidation>
        <x14:dataValidation type="list" allowBlank="1" showInputMessage="1" showErrorMessage="1">
          <x14:formula1>
            <xm:f>Variables!$B$4:$B$8</xm:f>
          </x14:formula1>
          <xm:sqref>C4</xm:sqref>
        </x14:dataValidation>
        <x14:dataValidation type="list" allowBlank="1" showInputMessage="1" showErrorMessage="1">
          <x14:formula1>
            <xm:f>Variables!$B$11:$B$11</xm:f>
          </x14:formula1>
          <xm:sqref>C6</xm:sqref>
        </x14:dataValidation>
        <x14:dataValidation type="list" allowBlank="1" showInputMessage="1" showErrorMessage="1">
          <x14:formula1>
            <xm:f>Variables!$B$80:$B$83</xm:f>
          </x14:formula1>
          <xm:sqref>C13</xm:sqref>
        </x14:dataValidation>
        <x14:dataValidation type="list" allowBlank="1" showInputMessage="1" showErrorMessage="1">
          <x14:formula1>
            <xm:f>Variables!$B$189:$B$192</xm:f>
          </x14:formula1>
          <xm:sqref>C25</xm:sqref>
        </x14:dataValidation>
        <x14:dataValidation type="list" allowBlank="1" showInputMessage="1" showErrorMessage="1">
          <x14:formula1>
            <xm:f>Variables!$B$203:$B$206</xm:f>
          </x14:formula1>
          <xm:sqref>C26:C27</xm:sqref>
        </x14:dataValidation>
        <x14:dataValidation type="list" allowBlank="1" showInputMessage="1" showErrorMessage="1">
          <x14:formula1>
            <xm:f>Variables!$B$23:$B$40</xm:f>
          </x14:formula1>
          <xm:sqref>C8</xm:sqref>
        </x14:dataValidation>
        <x14:dataValidation type="list" allowBlank="1" showInputMessage="1" showErrorMessage="1">
          <x14:formula1>
            <xm:f>Variables!$B$209:$B$212</xm:f>
          </x14:formula1>
          <xm:sqref>C28</xm:sqref>
        </x14:dataValidation>
        <x14:dataValidation type="list" allowBlank="1" showInputMessage="1" showErrorMessage="1">
          <x14:formula1>
            <xm:f>Variables!$B$215:$B$218</xm:f>
          </x14:formula1>
          <xm:sqref>C29:C30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B3" sqref="B3"/>
    </sheetView>
  </sheetViews>
  <sheetFormatPr defaultRowHeight="12.75" x14ac:dyDescent="0.2"/>
  <sheetData>
    <row r="1" spans="1:9" x14ac:dyDescent="0.2">
      <c r="A1" s="260"/>
      <c r="B1" s="260" t="s">
        <v>498</v>
      </c>
      <c r="C1" s="260"/>
      <c r="D1" s="260" t="s">
        <v>493</v>
      </c>
      <c r="E1" s="260" t="s">
        <v>494</v>
      </c>
      <c r="F1" s="260" t="s">
        <v>495</v>
      </c>
      <c r="G1" s="260" t="s">
        <v>496</v>
      </c>
      <c r="H1" s="260" t="s">
        <v>497</v>
      </c>
      <c r="I1" s="59" t="s">
        <v>499</v>
      </c>
    </row>
    <row r="2" spans="1:9" x14ac:dyDescent="0.2">
      <c r="A2" s="58" t="s">
        <v>518</v>
      </c>
      <c r="B2" s="58">
        <f>Assessment!$D$66*-1</f>
        <v>-166.97</v>
      </c>
      <c r="C2" s="58"/>
      <c r="D2" s="251">
        <f>Assessment!$D$68</f>
        <v>55.831379058267046</v>
      </c>
      <c r="E2" s="251">
        <f>Assessment!$D$68</f>
        <v>55.831379058267046</v>
      </c>
      <c r="F2" s="251">
        <f>Assessment!$D$68</f>
        <v>55.831379058267046</v>
      </c>
      <c r="G2" s="251">
        <f>Assessment!$D$68</f>
        <v>55.831379058267046</v>
      </c>
      <c r="H2" s="251">
        <f>Assessment!$D$68</f>
        <v>55.831379058267046</v>
      </c>
      <c r="I2" s="61">
        <f>IRR(B2:H2, 0.2)</f>
        <v>0.19999999999999996</v>
      </c>
    </row>
    <row r="3" spans="1:9" x14ac:dyDescent="0.2">
      <c r="A3" s="246" t="s">
        <v>519</v>
      </c>
      <c r="B3" s="58">
        <f>Assessment!$D$66*-1</f>
        <v>-166.97</v>
      </c>
      <c r="C3" s="58"/>
      <c r="D3" s="252">
        <f>Assessment!$D$86</f>
        <v>38.565862043476926</v>
      </c>
      <c r="E3" s="252">
        <f>Assessment!$D$86</f>
        <v>38.565862043476926</v>
      </c>
      <c r="F3" s="252">
        <f>Assessment!$D$86</f>
        <v>38.565862043476926</v>
      </c>
      <c r="G3" s="252">
        <f>Assessment!$D$86</f>
        <v>38.565862043476926</v>
      </c>
      <c r="H3" s="252">
        <f>Assessment!$D$86</f>
        <v>38.565862043476926</v>
      </c>
      <c r="I3" s="61">
        <f>IRR(B3:H3,0.05)</f>
        <v>4.9999999999999822E-2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83"/>
  <sheetViews>
    <sheetView zoomScaleNormal="100" workbookViewId="0">
      <pane xSplit="3" ySplit="1" topLeftCell="D74" activePane="bottomRight" state="frozen"/>
      <selection pane="topRight" activeCell="D1" sqref="D1"/>
      <selection pane="bottomLeft" activeCell="A2" sqref="A2"/>
      <selection pane="bottomRight" sqref="A1:XFD1048576"/>
    </sheetView>
  </sheetViews>
  <sheetFormatPr defaultRowHeight="12.75" x14ac:dyDescent="0.2"/>
  <cols>
    <col min="1" max="1" width="4" style="262" customWidth="1"/>
    <col min="2" max="2" width="55.42578125" style="221" customWidth="1"/>
    <col min="3" max="3" width="9.140625" style="221"/>
    <col min="4" max="4" width="13.140625" style="221" customWidth="1"/>
    <col min="5" max="5" width="12.28515625" style="268" customWidth="1"/>
    <col min="6" max="6" width="12" style="221" customWidth="1"/>
    <col min="7" max="8" width="12" style="266" customWidth="1"/>
    <col min="9" max="9" width="16" style="221" customWidth="1"/>
    <col min="10" max="10" width="17.42578125" style="221" customWidth="1"/>
    <col min="11" max="12" width="12" style="266" customWidth="1"/>
    <col min="13" max="13" width="10.5703125" style="221" customWidth="1"/>
    <col min="14" max="14" width="14.42578125" style="221" customWidth="1"/>
    <col min="15" max="15" width="12.5703125" style="221" customWidth="1"/>
    <col min="16" max="16" width="13" style="221" customWidth="1"/>
    <col min="17" max="16384" width="9.140625" style="221"/>
  </cols>
  <sheetData>
    <row r="1" spans="1:16" ht="81" customHeight="1" x14ac:dyDescent="0.2">
      <c r="A1" s="262" t="s">
        <v>119</v>
      </c>
      <c r="B1" s="262" t="s">
        <v>73</v>
      </c>
      <c r="C1" s="262" t="s">
        <v>72</v>
      </c>
      <c r="D1" s="262" t="s">
        <v>71</v>
      </c>
      <c r="E1" s="263" t="s">
        <v>127</v>
      </c>
      <c r="G1" s="264" t="s">
        <v>421</v>
      </c>
      <c r="H1" s="264" t="s">
        <v>422</v>
      </c>
      <c r="I1" s="220" t="s">
        <v>419</v>
      </c>
      <c r="J1" s="220" t="s">
        <v>418</v>
      </c>
      <c r="K1" s="264" t="s">
        <v>423</v>
      </c>
      <c r="L1" s="264" t="s">
        <v>424</v>
      </c>
      <c r="M1" s="220" t="s">
        <v>425</v>
      </c>
      <c r="N1" s="220" t="s">
        <v>426</v>
      </c>
      <c r="O1" s="220" t="s">
        <v>427</v>
      </c>
      <c r="P1" s="220" t="s">
        <v>428</v>
      </c>
    </row>
    <row r="2" spans="1:16" x14ac:dyDescent="0.2">
      <c r="B2" s="262"/>
      <c r="C2" s="262"/>
      <c r="E2" s="265"/>
    </row>
    <row r="3" spans="1:16" x14ac:dyDescent="0.2">
      <c r="A3" s="267">
        <f>Assessment!A4</f>
        <v>1</v>
      </c>
      <c r="B3" s="262" t="s">
        <v>363</v>
      </c>
      <c r="C3" s="262" t="s">
        <v>5</v>
      </c>
      <c r="D3" s="262" t="s">
        <v>71</v>
      </c>
      <c r="E3" s="265"/>
      <c r="G3" s="221" t="s">
        <v>420</v>
      </c>
      <c r="H3" s="268">
        <f>I4+J4</f>
        <v>29643.337928897359</v>
      </c>
    </row>
    <row r="4" spans="1:16" x14ac:dyDescent="0.2">
      <c r="A4" s="221"/>
      <c r="B4" s="262" t="s">
        <v>355</v>
      </c>
      <c r="C4" s="263">
        <v>29062.0960087229</v>
      </c>
      <c r="D4" s="221" t="s">
        <v>291</v>
      </c>
      <c r="E4" s="221" t="s">
        <v>121</v>
      </c>
      <c r="G4" s="266">
        <v>-0.25367287876036454</v>
      </c>
      <c r="H4" s="266">
        <v>-0.20273825366086182</v>
      </c>
      <c r="I4" s="268">
        <f>C4</f>
        <v>29062.0960087229</v>
      </c>
      <c r="J4" s="221">
        <f>C4*0.02</f>
        <v>581.24192017445796</v>
      </c>
      <c r="K4" s="266">
        <f>-24.725852769057%-G4</f>
        <v>6.4143510697945438E-3</v>
      </c>
      <c r="L4" s="266">
        <f>-19.7095046044839%-H4</f>
        <v>5.6432076160228273E-3</v>
      </c>
      <c r="M4" s="269">
        <f>K4/J4</f>
        <v>1.103559610406162E-5</v>
      </c>
      <c r="N4" s="269">
        <f>L4/J4</f>
        <v>9.7088792465778033E-6</v>
      </c>
      <c r="O4" s="221">
        <f>(I4/G4)*M4</f>
        <v>-1.2642957932948651</v>
      </c>
      <c r="P4" s="221">
        <f>(I4/H4)*N4</f>
        <v>-1.3917471207635828</v>
      </c>
    </row>
    <row r="5" spans="1:16" x14ac:dyDescent="0.2">
      <c r="A5" s="221"/>
      <c r="B5" s="270" t="s">
        <v>502</v>
      </c>
      <c r="C5" s="271">
        <f>C4*0.75</f>
        <v>21796.572006542174</v>
      </c>
      <c r="D5" s="221" t="s">
        <v>420</v>
      </c>
      <c r="E5" s="221" t="s">
        <v>121</v>
      </c>
      <c r="G5" s="266">
        <v>-0.25367287876036454</v>
      </c>
      <c r="H5" s="266">
        <v>-0.20273825366086182</v>
      </c>
      <c r="I5" s="268">
        <f>C5</f>
        <v>21796.572006542174</v>
      </c>
      <c r="J5" s="221">
        <f>C5*0.02</f>
        <v>435.9314401308435</v>
      </c>
      <c r="K5" s="266">
        <f>-24.725852769057%-G5</f>
        <v>6.4143510697945438E-3</v>
      </c>
      <c r="L5" s="266">
        <f>-19.7095046044839%-H5</f>
        <v>5.6432076160228273E-3</v>
      </c>
      <c r="M5" s="269">
        <f>K5/J5</f>
        <v>1.4714128138748827E-5</v>
      </c>
      <c r="N5" s="269">
        <f>L5/J5</f>
        <v>1.2945172328770403E-5</v>
      </c>
      <c r="O5" s="221">
        <f>(I5/G5)*M5</f>
        <v>-1.2642957932948651</v>
      </c>
      <c r="P5" s="221">
        <f>(I5/H5)*N5</f>
        <v>-1.3917471207635828</v>
      </c>
    </row>
    <row r="6" spans="1:16" x14ac:dyDescent="0.2">
      <c r="A6" s="221"/>
      <c r="B6" s="270" t="s">
        <v>576</v>
      </c>
      <c r="C6" s="271">
        <v>15000</v>
      </c>
      <c r="E6" s="221"/>
      <c r="I6" s="268"/>
      <c r="M6" s="269"/>
      <c r="N6" s="269"/>
    </row>
    <row r="7" spans="1:16" x14ac:dyDescent="0.2">
      <c r="A7" s="221"/>
      <c r="B7" s="270" t="s">
        <v>577</v>
      </c>
      <c r="C7" s="271">
        <v>50000</v>
      </c>
      <c r="E7" s="221"/>
      <c r="I7" s="268"/>
      <c r="M7" s="269"/>
      <c r="N7" s="269"/>
    </row>
    <row r="8" spans="1:16" x14ac:dyDescent="0.2">
      <c r="A8" s="221"/>
      <c r="B8" s="270" t="s">
        <v>503</v>
      </c>
      <c r="C8" s="271">
        <f>C4*1.25</f>
        <v>36327.620010903622</v>
      </c>
      <c r="D8" s="221" t="s">
        <v>420</v>
      </c>
      <c r="E8" s="221" t="s">
        <v>121</v>
      </c>
      <c r="G8" s="266">
        <v>-0.25367287876036454</v>
      </c>
      <c r="H8" s="266">
        <v>-0.20273825366086182</v>
      </c>
      <c r="I8" s="268">
        <f>C8</f>
        <v>36327.620010903622</v>
      </c>
      <c r="J8" s="221">
        <f>C8*0.02</f>
        <v>726.55240021807242</v>
      </c>
      <c r="K8" s="266">
        <f>-24.725852769057%-G8</f>
        <v>6.4143510697945438E-3</v>
      </c>
      <c r="L8" s="266">
        <f>-19.7095046044839%-H8</f>
        <v>5.6432076160228273E-3</v>
      </c>
      <c r="M8" s="269">
        <f>K8/J8</f>
        <v>8.8284768832492974E-6</v>
      </c>
      <c r="N8" s="269">
        <f>L8/J8</f>
        <v>7.767103397262244E-6</v>
      </c>
      <c r="O8" s="221">
        <f>(I8/G8)*M8</f>
        <v>-1.2642957932948651</v>
      </c>
      <c r="P8" s="221">
        <f>(I8/H8)*N8</f>
        <v>-1.3917471207635832</v>
      </c>
    </row>
    <row r="9" spans="1:16" x14ac:dyDescent="0.2">
      <c r="A9" s="221"/>
    </row>
    <row r="10" spans="1:16" x14ac:dyDescent="0.2">
      <c r="A10" s="267">
        <f>Assessment!A5</f>
        <v>2</v>
      </c>
      <c r="B10" s="262" t="s">
        <v>364</v>
      </c>
      <c r="C10" s="262" t="s">
        <v>5</v>
      </c>
      <c r="D10" s="262" t="s">
        <v>71</v>
      </c>
      <c r="E10" s="265"/>
      <c r="G10" s="221" t="s">
        <v>420</v>
      </c>
      <c r="H10" s="268">
        <f>I11+J11</f>
        <v>2896.6010939369871</v>
      </c>
    </row>
    <row r="11" spans="1:16" x14ac:dyDescent="0.2">
      <c r="A11" s="221"/>
      <c r="B11" s="262" t="s">
        <v>355</v>
      </c>
      <c r="C11" s="263">
        <v>2839.8049940558699</v>
      </c>
      <c r="D11" s="221" t="s">
        <v>291</v>
      </c>
      <c r="E11" s="221" t="s">
        <v>121</v>
      </c>
      <c r="F11" s="272"/>
      <c r="G11" s="266">
        <v>-0.25367287876036454</v>
      </c>
      <c r="H11" s="266">
        <v>-0.20273825366086182</v>
      </c>
      <c r="I11" s="268">
        <f>C11</f>
        <v>2839.8049940558699</v>
      </c>
      <c r="J11" s="221">
        <f>C11*0.02</f>
        <v>56.796099881117399</v>
      </c>
      <c r="K11" s="266">
        <f>-24.725852769057%-G11</f>
        <v>6.4143510697945438E-3</v>
      </c>
      <c r="L11" s="266">
        <f>-19.7095046044839%-H11</f>
        <v>5.6432076160228273E-3</v>
      </c>
      <c r="M11" s="269">
        <f>K11/J11</f>
        <v>1.1293647069465554E-4</v>
      </c>
      <c r="N11" s="269">
        <f>L11/J11</f>
        <v>9.935906915853187E-5</v>
      </c>
      <c r="O11" s="221">
        <f>(I11/G11)*M11</f>
        <v>-1.2642957932948651</v>
      </c>
      <c r="P11" s="221">
        <f>(I11/H11)*N11</f>
        <v>-1.391747120763583</v>
      </c>
    </row>
    <row r="12" spans="1:16" x14ac:dyDescent="0.2">
      <c r="A12" s="221"/>
      <c r="B12" s="270" t="s">
        <v>504</v>
      </c>
      <c r="C12" s="271">
        <f>C11*0.75</f>
        <v>2129.8537455419023</v>
      </c>
      <c r="D12" s="221" t="s">
        <v>420</v>
      </c>
      <c r="E12" s="221" t="s">
        <v>121</v>
      </c>
      <c r="F12" s="272"/>
      <c r="G12" s="266">
        <v>-0.25367287876036454</v>
      </c>
      <c r="H12" s="266">
        <v>-0.20273825366086182</v>
      </c>
      <c r="I12" s="268">
        <f>C12</f>
        <v>2129.8537455419023</v>
      </c>
      <c r="J12" s="221">
        <f>C12*0.02</f>
        <v>42.597074910838046</v>
      </c>
      <c r="K12" s="266">
        <f>-24.725852769057%-G12</f>
        <v>6.4143510697945438E-3</v>
      </c>
      <c r="L12" s="266">
        <f>-19.7095046044839%-H12</f>
        <v>5.6432076160228273E-3</v>
      </c>
      <c r="M12" s="269">
        <f>K12/J12</f>
        <v>1.5058196092620739E-4</v>
      </c>
      <c r="N12" s="269">
        <f>L12/J12</f>
        <v>1.3247875887804249E-4</v>
      </c>
      <c r="O12" s="221">
        <f>(I12/G12)*M12</f>
        <v>-1.2642957932948649</v>
      </c>
      <c r="P12" s="221">
        <f>(I12/H12)*N12</f>
        <v>-1.3917471207635828</v>
      </c>
    </row>
    <row r="13" spans="1:16" x14ac:dyDescent="0.2">
      <c r="A13" s="221"/>
      <c r="B13" s="270" t="s">
        <v>505</v>
      </c>
      <c r="C13" s="271">
        <f>C11*1.25</f>
        <v>3549.7562425698375</v>
      </c>
      <c r="D13" s="221" t="s">
        <v>420</v>
      </c>
      <c r="E13" s="221" t="s">
        <v>121</v>
      </c>
      <c r="F13" s="272"/>
      <c r="G13" s="266">
        <v>-0.25367287876036454</v>
      </c>
      <c r="H13" s="266">
        <v>-0.20273825366086182</v>
      </c>
      <c r="I13" s="268">
        <f>C13</f>
        <v>3549.7562425698375</v>
      </c>
      <c r="J13" s="221">
        <f>C13*0.02</f>
        <v>70.995124851396753</v>
      </c>
      <c r="K13" s="266">
        <f>-24.725852769057%-G13</f>
        <v>6.4143510697945438E-3</v>
      </c>
      <c r="L13" s="266">
        <f>-19.7095046044839%-H13</f>
        <v>5.6432076160228273E-3</v>
      </c>
      <c r="M13" s="269">
        <f>K13/J13</f>
        <v>9.0349176555724425E-5</v>
      </c>
      <c r="N13" s="269">
        <f>L13/J13</f>
        <v>7.9487255326825485E-5</v>
      </c>
      <c r="O13" s="221">
        <f>(I13/G13)*M13</f>
        <v>-1.2642957932948651</v>
      </c>
      <c r="P13" s="221">
        <f>(I13/H13)*N13</f>
        <v>-1.3917471207635828</v>
      </c>
    </row>
    <row r="14" spans="1:16" ht="13.5" customHeight="1" x14ac:dyDescent="0.2">
      <c r="E14" s="263"/>
    </row>
    <row r="15" spans="1:16" s="262" customFormat="1" x14ac:dyDescent="0.2">
      <c r="A15" s="262">
        <f>Assessment!A7</f>
        <v>3</v>
      </c>
      <c r="B15" s="262" t="s">
        <v>124</v>
      </c>
      <c r="C15" s="262" t="s">
        <v>154</v>
      </c>
      <c r="D15" s="262" t="s">
        <v>71</v>
      </c>
      <c r="E15" s="263" t="s">
        <v>127</v>
      </c>
      <c r="F15" s="262" t="s">
        <v>71</v>
      </c>
      <c r="G15" s="264"/>
      <c r="H15" s="264"/>
      <c r="K15" s="264"/>
      <c r="L15" s="264"/>
    </row>
    <row r="16" spans="1:16" x14ac:dyDescent="0.2">
      <c r="B16" s="221" t="s">
        <v>121</v>
      </c>
      <c r="C16" s="222">
        <v>0</v>
      </c>
      <c r="D16" s="221" t="s">
        <v>121</v>
      </c>
      <c r="F16" s="221" t="s">
        <v>121</v>
      </c>
    </row>
    <row r="17" spans="1:12" x14ac:dyDescent="0.2">
      <c r="B17" s="221" t="s">
        <v>124</v>
      </c>
      <c r="C17" s="222">
        <v>0.2</v>
      </c>
      <c r="D17" s="221" t="s">
        <v>291</v>
      </c>
      <c r="E17" s="268">
        <v>376</v>
      </c>
      <c r="F17" s="221" t="s">
        <v>268</v>
      </c>
    </row>
    <row r="18" spans="1:12" x14ac:dyDescent="0.2">
      <c r="B18" s="221" t="s">
        <v>400</v>
      </c>
      <c r="C18" s="222">
        <v>0.2</v>
      </c>
      <c r="D18" s="221" t="s">
        <v>291</v>
      </c>
      <c r="E18" s="268">
        <f>1620/2</f>
        <v>810</v>
      </c>
      <c r="F18" s="221" t="s">
        <v>266</v>
      </c>
    </row>
    <row r="19" spans="1:12" x14ac:dyDescent="0.2">
      <c r="B19" s="221" t="s">
        <v>265</v>
      </c>
      <c r="C19" s="222">
        <v>0.2</v>
      </c>
      <c r="D19" s="221" t="s">
        <v>291</v>
      </c>
      <c r="E19" s="268">
        <v>1620</v>
      </c>
      <c r="F19" s="221" t="s">
        <v>266</v>
      </c>
    </row>
    <row r="20" spans="1:12" x14ac:dyDescent="0.2">
      <c r="C20" s="222"/>
    </row>
    <row r="21" spans="1:12" x14ac:dyDescent="0.2">
      <c r="E21" s="273"/>
    </row>
    <row r="22" spans="1:12" s="262" customFormat="1" x14ac:dyDescent="0.2">
      <c r="A22" s="262">
        <f>Assessment!A8</f>
        <v>4</v>
      </c>
      <c r="B22" s="262" t="s">
        <v>521</v>
      </c>
      <c r="C22" s="262" t="s">
        <v>154</v>
      </c>
      <c r="D22" s="262" t="s">
        <v>71</v>
      </c>
      <c r="E22" s="263" t="s">
        <v>127</v>
      </c>
      <c r="F22" s="262" t="s">
        <v>71</v>
      </c>
      <c r="G22" s="264"/>
      <c r="H22" s="264"/>
      <c r="K22" s="264"/>
      <c r="L22" s="264"/>
    </row>
    <row r="23" spans="1:12" x14ac:dyDescent="0.2">
      <c r="B23" s="221" t="s">
        <v>121</v>
      </c>
      <c r="C23" s="222">
        <v>0</v>
      </c>
      <c r="D23" s="221" t="s">
        <v>121</v>
      </c>
      <c r="F23" s="221" t="s">
        <v>121</v>
      </c>
    </row>
    <row r="24" spans="1:12" x14ac:dyDescent="0.2">
      <c r="B24" s="221" t="s">
        <v>125</v>
      </c>
      <c r="C24" s="222">
        <v>0.24299999999999999</v>
      </c>
      <c r="D24" s="221" t="s">
        <v>291</v>
      </c>
      <c r="E24" s="268">
        <v>7600</v>
      </c>
      <c r="F24" s="221" t="s">
        <v>267</v>
      </c>
    </row>
    <row r="25" spans="1:12" x14ac:dyDescent="0.2">
      <c r="B25" s="221" t="s">
        <v>269</v>
      </c>
      <c r="C25" s="222">
        <v>0.24299999999999999</v>
      </c>
      <c r="D25" s="221" t="s">
        <v>291</v>
      </c>
      <c r="E25" s="268">
        <f>7600+5000</f>
        <v>12600</v>
      </c>
      <c r="F25" s="221" t="s">
        <v>270</v>
      </c>
    </row>
    <row r="26" spans="1:12" x14ac:dyDescent="0.2">
      <c r="B26" s="221" t="s">
        <v>478</v>
      </c>
      <c r="C26" s="222">
        <v>0.43</v>
      </c>
      <c r="D26" s="221" t="s">
        <v>477</v>
      </c>
      <c r="E26" s="268">
        <v>12600</v>
      </c>
      <c r="F26" s="221" t="s">
        <v>267</v>
      </c>
    </row>
    <row r="27" spans="1:12" x14ac:dyDescent="0.2">
      <c r="B27" s="221" t="s">
        <v>396</v>
      </c>
      <c r="C27" s="222">
        <v>0.24299999999999999</v>
      </c>
      <c r="D27" s="221" t="s">
        <v>291</v>
      </c>
      <c r="E27" s="268">
        <f>(7600)*0.5</f>
        <v>3800</v>
      </c>
      <c r="F27" s="221" t="s">
        <v>270</v>
      </c>
    </row>
    <row r="28" spans="1:12" x14ac:dyDescent="0.2">
      <c r="B28" s="221" t="s">
        <v>397</v>
      </c>
      <c r="C28" s="222">
        <v>0.24299999999999999</v>
      </c>
      <c r="D28" s="221" t="s">
        <v>291</v>
      </c>
      <c r="E28" s="268">
        <f>(7600+5000)*0.5</f>
        <v>6300</v>
      </c>
      <c r="F28" s="221" t="s">
        <v>270</v>
      </c>
    </row>
    <row r="29" spans="1:12" x14ac:dyDescent="0.2">
      <c r="B29" s="221" t="s">
        <v>388</v>
      </c>
      <c r="C29" s="222">
        <v>0.24299999999999999</v>
      </c>
      <c r="D29" s="221" t="s">
        <v>291</v>
      </c>
      <c r="E29" s="268">
        <f>7600*0.45</f>
        <v>3420</v>
      </c>
      <c r="F29" s="221" t="s">
        <v>267</v>
      </c>
    </row>
    <row r="30" spans="1:12" x14ac:dyDescent="0.2">
      <c r="B30" s="221" t="s">
        <v>389</v>
      </c>
      <c r="C30" s="222">
        <v>0.24299999999999999</v>
      </c>
      <c r="D30" s="221" t="s">
        <v>291</v>
      </c>
      <c r="E30" s="268">
        <f>(7600+5000)*0.45</f>
        <v>5670</v>
      </c>
      <c r="F30" s="221" t="s">
        <v>270</v>
      </c>
    </row>
    <row r="31" spans="1:12" x14ac:dyDescent="0.2">
      <c r="B31" s="221" t="s">
        <v>508</v>
      </c>
      <c r="C31" s="222">
        <v>0.43</v>
      </c>
      <c r="D31" s="221" t="s">
        <v>291</v>
      </c>
      <c r="E31" s="268">
        <f>(7600+5000)*0.45</f>
        <v>5670</v>
      </c>
      <c r="F31" s="221" t="s">
        <v>270</v>
      </c>
    </row>
    <row r="32" spans="1:12" x14ac:dyDescent="0.2">
      <c r="B32" s="221" t="s">
        <v>126</v>
      </c>
      <c r="C32" s="222">
        <v>0.24299999999999999</v>
      </c>
      <c r="D32" s="221" t="s">
        <v>291</v>
      </c>
      <c r="E32" s="268">
        <v>5000</v>
      </c>
      <c r="F32" s="221" t="s">
        <v>267</v>
      </c>
    </row>
    <row r="33" spans="1:12" x14ac:dyDescent="0.2">
      <c r="B33" s="221" t="s">
        <v>479</v>
      </c>
      <c r="C33" s="222">
        <v>0.43</v>
      </c>
      <c r="D33" s="221" t="s">
        <v>477</v>
      </c>
      <c r="E33" s="268">
        <v>5000</v>
      </c>
      <c r="F33" s="221" t="s">
        <v>267</v>
      </c>
    </row>
    <row r="34" spans="1:12" x14ac:dyDescent="0.2">
      <c r="B34" s="221" t="s">
        <v>271</v>
      </c>
      <c r="C34" s="222">
        <v>0.24299999999999999</v>
      </c>
      <c r="D34" s="221" t="s">
        <v>291</v>
      </c>
      <c r="E34" s="268">
        <f>5000+2000</f>
        <v>7000</v>
      </c>
      <c r="F34" s="221" t="s">
        <v>270</v>
      </c>
    </row>
    <row r="35" spans="1:12" x14ac:dyDescent="0.2">
      <c r="B35" s="221" t="s">
        <v>398</v>
      </c>
      <c r="C35" s="222">
        <v>0.24299999999999999</v>
      </c>
      <c r="D35" s="221" t="s">
        <v>291</v>
      </c>
      <c r="E35" s="268">
        <f>5000*0.5</f>
        <v>2500</v>
      </c>
      <c r="F35" s="221" t="s">
        <v>267</v>
      </c>
    </row>
    <row r="36" spans="1:12" x14ac:dyDescent="0.2">
      <c r="B36" s="221" t="s">
        <v>399</v>
      </c>
      <c r="C36" s="222">
        <v>0.24299999999999999</v>
      </c>
      <c r="D36" s="221" t="s">
        <v>291</v>
      </c>
      <c r="E36" s="268">
        <f>(5000+2000)*0.5</f>
        <v>3500</v>
      </c>
      <c r="F36" s="221" t="s">
        <v>270</v>
      </c>
    </row>
    <row r="37" spans="1:12" x14ac:dyDescent="0.2">
      <c r="B37" s="221" t="s">
        <v>390</v>
      </c>
      <c r="C37" s="222">
        <v>0.24299999999999999</v>
      </c>
      <c r="D37" s="221" t="s">
        <v>291</v>
      </c>
      <c r="E37" s="268">
        <f>5000*0.45</f>
        <v>2250</v>
      </c>
      <c r="F37" s="221" t="s">
        <v>267</v>
      </c>
    </row>
    <row r="38" spans="1:12" x14ac:dyDescent="0.2">
      <c r="B38" s="221" t="s">
        <v>510</v>
      </c>
      <c r="C38" s="222">
        <v>0.43</v>
      </c>
      <c r="D38" s="221" t="s">
        <v>291</v>
      </c>
      <c r="E38" s="268">
        <f>5000*0.45</f>
        <v>2250</v>
      </c>
      <c r="F38" s="221" t="s">
        <v>267</v>
      </c>
    </row>
    <row r="39" spans="1:12" s="226" customFormat="1" x14ac:dyDescent="0.2">
      <c r="B39" s="226" t="s">
        <v>391</v>
      </c>
      <c r="C39" s="129">
        <v>0.24299999999999999</v>
      </c>
      <c r="D39" s="226" t="s">
        <v>291</v>
      </c>
      <c r="E39" s="274">
        <f>(5000+2000)*0.45</f>
        <v>3150</v>
      </c>
      <c r="F39" s="226" t="s">
        <v>270</v>
      </c>
      <c r="G39" s="275"/>
      <c r="H39" s="275"/>
      <c r="K39" s="275"/>
      <c r="L39" s="275"/>
    </row>
    <row r="40" spans="1:12" x14ac:dyDescent="0.2">
      <c r="B40" s="221" t="s">
        <v>509</v>
      </c>
      <c r="C40" s="222">
        <v>0.43</v>
      </c>
      <c r="D40" s="221" t="s">
        <v>291</v>
      </c>
      <c r="E40" s="268">
        <f>(5000+2000)*0.45</f>
        <v>3150</v>
      </c>
      <c r="F40" s="221" t="s">
        <v>270</v>
      </c>
    </row>
    <row r="41" spans="1:12" x14ac:dyDescent="0.2">
      <c r="E41" s="273"/>
    </row>
    <row r="42" spans="1:12" s="262" customFormat="1" x14ac:dyDescent="0.2">
      <c r="A42" s="262">
        <f>Assessment!A9</f>
        <v>5</v>
      </c>
      <c r="B42" s="262" t="s">
        <v>151</v>
      </c>
      <c r="C42" s="262" t="s">
        <v>154</v>
      </c>
      <c r="D42" s="262" t="s">
        <v>71</v>
      </c>
      <c r="E42" s="263" t="s">
        <v>127</v>
      </c>
      <c r="F42" s="262" t="s">
        <v>71</v>
      </c>
      <c r="G42" s="264"/>
      <c r="H42" s="264"/>
      <c r="K42" s="264"/>
      <c r="L42" s="264"/>
    </row>
    <row r="43" spans="1:12" x14ac:dyDescent="0.2">
      <c r="B43" s="221" t="s">
        <v>121</v>
      </c>
      <c r="C43" s="276">
        <v>0</v>
      </c>
      <c r="D43" s="221" t="s">
        <v>121</v>
      </c>
      <c r="F43" s="221" t="s">
        <v>121</v>
      </c>
    </row>
    <row r="44" spans="1:12" x14ac:dyDescent="0.2">
      <c r="B44" s="221" t="s">
        <v>511</v>
      </c>
      <c r="C44" s="276">
        <v>0.22056999999999999</v>
      </c>
      <c r="D44" s="221" t="s">
        <v>291</v>
      </c>
      <c r="E44" s="268">
        <v>283</v>
      </c>
      <c r="F44" s="221" t="s">
        <v>266</v>
      </c>
    </row>
    <row r="45" spans="1:12" x14ac:dyDescent="0.2">
      <c r="B45" s="221" t="s">
        <v>512</v>
      </c>
      <c r="C45" s="276">
        <v>0.22056999999999999</v>
      </c>
      <c r="D45" s="221" t="s">
        <v>291</v>
      </c>
      <c r="E45" s="268">
        <f>283/2</f>
        <v>141.5</v>
      </c>
      <c r="F45" s="221" t="s">
        <v>266</v>
      </c>
    </row>
    <row r="46" spans="1:12" x14ac:dyDescent="0.2">
      <c r="B46" s="221" t="s">
        <v>153</v>
      </c>
      <c r="C46" s="276">
        <v>2.9000000000000001E-2</v>
      </c>
      <c r="D46" s="221" t="s">
        <v>291</v>
      </c>
      <c r="E46" s="268">
        <v>283</v>
      </c>
      <c r="F46" s="221" t="s">
        <v>266</v>
      </c>
    </row>
    <row r="47" spans="1:12" x14ac:dyDescent="0.2">
      <c r="B47" s="221" t="s">
        <v>401</v>
      </c>
      <c r="C47" s="276">
        <v>2.9000000000000001E-2</v>
      </c>
      <c r="D47" s="221" t="s">
        <v>291</v>
      </c>
      <c r="E47" s="268">
        <f>283/2</f>
        <v>141.5</v>
      </c>
      <c r="F47" s="221" t="s">
        <v>266</v>
      </c>
    </row>
    <row r="48" spans="1:12" x14ac:dyDescent="0.2">
      <c r="B48" s="221" t="s">
        <v>152</v>
      </c>
      <c r="C48" s="276">
        <v>1.6E-2</v>
      </c>
      <c r="D48" s="221" t="s">
        <v>291</v>
      </c>
      <c r="E48" s="268">
        <v>283</v>
      </c>
      <c r="F48" s="221" t="s">
        <v>266</v>
      </c>
    </row>
    <row r="49" spans="1:12" x14ac:dyDescent="0.2">
      <c r="B49" s="221" t="s">
        <v>402</v>
      </c>
      <c r="C49" s="276">
        <v>1.6E-2</v>
      </c>
      <c r="D49" s="221" t="s">
        <v>291</v>
      </c>
      <c r="E49" s="268">
        <f>283/2</f>
        <v>141.5</v>
      </c>
      <c r="F49" s="221" t="s">
        <v>266</v>
      </c>
    </row>
    <row r="50" spans="1:12" x14ac:dyDescent="0.2">
      <c r="E50" s="273"/>
    </row>
    <row r="51" spans="1:12" s="262" customFormat="1" x14ac:dyDescent="0.2">
      <c r="A51" s="262">
        <f>Assessment!A10</f>
        <v>6</v>
      </c>
      <c r="B51" s="262" t="s">
        <v>150</v>
      </c>
      <c r="C51" s="262" t="s">
        <v>154</v>
      </c>
      <c r="D51" s="262" t="s">
        <v>71</v>
      </c>
      <c r="E51" s="263" t="s">
        <v>127</v>
      </c>
      <c r="F51" s="262" t="s">
        <v>71</v>
      </c>
      <c r="G51" s="264"/>
      <c r="H51" s="264"/>
      <c r="K51" s="264"/>
      <c r="L51" s="264"/>
    </row>
    <row r="52" spans="1:12" x14ac:dyDescent="0.2">
      <c r="B52" s="221" t="s">
        <v>121</v>
      </c>
      <c r="C52" s="222">
        <v>0</v>
      </c>
      <c r="D52" s="221" t="s">
        <v>121</v>
      </c>
      <c r="F52" s="221" t="s">
        <v>121</v>
      </c>
    </row>
    <row r="53" spans="1:12" x14ac:dyDescent="0.2">
      <c r="B53" s="221" t="s">
        <v>292</v>
      </c>
      <c r="C53" s="222">
        <v>4.9000000000000002E-2</v>
      </c>
      <c r="D53" s="221" t="s">
        <v>291</v>
      </c>
      <c r="E53" s="268">
        <v>100</v>
      </c>
      <c r="F53" s="221" t="s">
        <v>89</v>
      </c>
    </row>
    <row r="54" spans="1:12" x14ac:dyDescent="0.2">
      <c r="B54" s="221" t="s">
        <v>520</v>
      </c>
      <c r="C54" s="222">
        <v>0.10100000000000001</v>
      </c>
      <c r="D54" s="221" t="s">
        <v>291</v>
      </c>
      <c r="E54" s="268">
        <f>E55/2</f>
        <v>1800</v>
      </c>
      <c r="F54" s="221" t="s">
        <v>266</v>
      </c>
    </row>
    <row r="55" spans="1:12" x14ac:dyDescent="0.2">
      <c r="B55" s="221" t="s">
        <v>293</v>
      </c>
      <c r="C55" s="222">
        <v>0.10100000000000001</v>
      </c>
      <c r="D55" s="221" t="s">
        <v>291</v>
      </c>
      <c r="E55" s="268">
        <f>450*8</f>
        <v>3600</v>
      </c>
      <c r="F55" s="221" t="s">
        <v>266</v>
      </c>
    </row>
    <row r="56" spans="1:12" x14ac:dyDescent="0.2">
      <c r="E56" s="273"/>
    </row>
    <row r="58" spans="1:12" s="262" customFormat="1" x14ac:dyDescent="0.2">
      <c r="A58" s="262">
        <f>Assessment!A11</f>
        <v>7</v>
      </c>
      <c r="B58" s="262" t="s">
        <v>299</v>
      </c>
      <c r="C58" s="262" t="s">
        <v>154</v>
      </c>
      <c r="D58" s="262" t="s">
        <v>71</v>
      </c>
      <c r="E58" s="263" t="s">
        <v>127</v>
      </c>
      <c r="F58" s="262" t="s">
        <v>71</v>
      </c>
      <c r="G58" s="264"/>
      <c r="H58" s="264"/>
      <c r="K58" s="264"/>
      <c r="L58" s="264"/>
    </row>
    <row r="59" spans="1:12" x14ac:dyDescent="0.2">
      <c r="B59" s="221" t="s">
        <v>121</v>
      </c>
      <c r="C59" s="222">
        <v>0</v>
      </c>
      <c r="D59" s="221" t="s">
        <v>121</v>
      </c>
      <c r="E59" s="268">
        <v>0</v>
      </c>
      <c r="F59" s="221" t="s">
        <v>128</v>
      </c>
    </row>
    <row r="60" spans="1:12" x14ac:dyDescent="0.2">
      <c r="B60" s="221" t="s">
        <v>294</v>
      </c>
      <c r="C60" s="222">
        <v>0.11799999999999999</v>
      </c>
      <c r="D60" s="221" t="s">
        <v>291</v>
      </c>
      <c r="E60" s="268">
        <v>2520</v>
      </c>
      <c r="F60" s="221" t="s">
        <v>266</v>
      </c>
    </row>
    <row r="61" spans="1:12" x14ac:dyDescent="0.2">
      <c r="B61" s="221" t="s">
        <v>403</v>
      </c>
      <c r="C61" s="222">
        <v>0.11799999999999999</v>
      </c>
      <c r="D61" s="221" t="s">
        <v>291</v>
      </c>
      <c r="E61" s="268">
        <f>2520/2</f>
        <v>1260</v>
      </c>
      <c r="F61" s="221" t="s">
        <v>266</v>
      </c>
    </row>
    <row r="62" spans="1:12" x14ac:dyDescent="0.2">
      <c r="B62" s="221" t="s">
        <v>295</v>
      </c>
      <c r="C62" s="222">
        <v>2.5999999999999999E-2</v>
      </c>
      <c r="D62" s="221" t="s">
        <v>291</v>
      </c>
      <c r="E62" s="268">
        <v>300</v>
      </c>
      <c r="F62" s="221" t="s">
        <v>89</v>
      </c>
    </row>
    <row r="63" spans="1:12" x14ac:dyDescent="0.2">
      <c r="B63" s="221" t="s">
        <v>404</v>
      </c>
      <c r="C63" s="222">
        <v>2.5999999999999999E-2</v>
      </c>
      <c r="D63" s="221" t="s">
        <v>291</v>
      </c>
      <c r="E63" s="268">
        <f>300/2</f>
        <v>150</v>
      </c>
      <c r="F63" s="221" t="s">
        <v>89</v>
      </c>
    </row>
    <row r="64" spans="1:12" x14ac:dyDescent="0.2">
      <c r="B64" s="221" t="s">
        <v>296</v>
      </c>
      <c r="C64" s="222">
        <v>2.5999999999999999E-2</v>
      </c>
      <c r="D64" s="221" t="s">
        <v>291</v>
      </c>
      <c r="E64" s="268">
        <f>200</f>
        <v>200</v>
      </c>
      <c r="F64" s="221" t="s">
        <v>89</v>
      </c>
    </row>
    <row r="65" spans="1:12" x14ac:dyDescent="0.2">
      <c r="B65" s="221" t="s">
        <v>405</v>
      </c>
      <c r="C65" s="222">
        <v>2.5999999999999999E-2</v>
      </c>
      <c r="D65" s="221" t="s">
        <v>291</v>
      </c>
      <c r="E65" s="268">
        <f>200/2</f>
        <v>100</v>
      </c>
      <c r="F65" s="221" t="s">
        <v>89</v>
      </c>
    </row>
    <row r="66" spans="1:12" x14ac:dyDescent="0.2">
      <c r="B66" s="221" t="s">
        <v>471</v>
      </c>
      <c r="C66" s="222">
        <f>C64+C62</f>
        <v>5.1999999999999998E-2</v>
      </c>
      <c r="D66" s="221" t="s">
        <v>291</v>
      </c>
      <c r="E66" s="277">
        <f>E64+E62</f>
        <v>500</v>
      </c>
      <c r="F66" s="221" t="s">
        <v>89</v>
      </c>
    </row>
    <row r="67" spans="1:12" x14ac:dyDescent="0.2">
      <c r="B67" s="221" t="s">
        <v>472</v>
      </c>
      <c r="C67" s="222">
        <f>C65+C63</f>
        <v>5.1999999999999998E-2</v>
      </c>
      <c r="D67" s="221" t="s">
        <v>291</v>
      </c>
      <c r="E67" s="277">
        <f>E65+E63</f>
        <v>250</v>
      </c>
      <c r="F67" s="221" t="s">
        <v>89</v>
      </c>
    </row>
    <row r="68" spans="1:12" x14ac:dyDescent="0.2">
      <c r="B68" s="221" t="s">
        <v>297</v>
      </c>
      <c r="C68" s="222">
        <v>0.17</v>
      </c>
      <c r="D68" s="221" t="s">
        <v>291</v>
      </c>
      <c r="E68" s="268">
        <f>E60+E62+E64</f>
        <v>3020</v>
      </c>
      <c r="F68" s="221" t="s">
        <v>298</v>
      </c>
    </row>
    <row r="69" spans="1:12" x14ac:dyDescent="0.2">
      <c r="B69" s="221" t="s">
        <v>406</v>
      </c>
      <c r="C69" s="222">
        <v>0.17</v>
      </c>
      <c r="D69" s="221" t="s">
        <v>291</v>
      </c>
      <c r="E69" s="268">
        <f>E68/2</f>
        <v>1510</v>
      </c>
      <c r="F69" s="221" t="s">
        <v>298</v>
      </c>
    </row>
    <row r="70" spans="1:12" x14ac:dyDescent="0.2">
      <c r="C70" s="276"/>
    </row>
    <row r="71" spans="1:12" x14ac:dyDescent="0.2">
      <c r="A71" s="262">
        <f>Assessment!A12</f>
        <v>8</v>
      </c>
      <c r="B71" s="262" t="s">
        <v>136</v>
      </c>
      <c r="C71" s="262" t="s">
        <v>154</v>
      </c>
      <c r="D71" s="262" t="s">
        <v>71</v>
      </c>
      <c r="E71" s="263" t="s">
        <v>127</v>
      </c>
      <c r="F71" s="262" t="s">
        <v>71</v>
      </c>
      <c r="G71" s="264"/>
      <c r="H71" s="264"/>
      <c r="I71" s="262"/>
      <c r="K71" s="264"/>
      <c r="L71" s="264"/>
    </row>
    <row r="72" spans="1:12" x14ac:dyDescent="0.2">
      <c r="B72" s="221" t="s">
        <v>121</v>
      </c>
      <c r="C72" s="222">
        <v>0</v>
      </c>
      <c r="D72" s="221" t="s">
        <v>121</v>
      </c>
      <c r="E72" s="268">
        <v>0</v>
      </c>
      <c r="F72" s="221" t="s">
        <v>121</v>
      </c>
    </row>
    <row r="73" spans="1:12" x14ac:dyDescent="0.2">
      <c r="B73" s="221" t="s">
        <v>248</v>
      </c>
      <c r="C73" s="222">
        <v>4.8000000000000001E-2</v>
      </c>
      <c r="D73" s="221" t="s">
        <v>370</v>
      </c>
      <c r="E73" s="268">
        <v>3500</v>
      </c>
      <c r="F73" s="221" t="s">
        <v>373</v>
      </c>
    </row>
    <row r="74" spans="1:12" x14ac:dyDescent="0.2">
      <c r="B74" s="221" t="s">
        <v>410</v>
      </c>
      <c r="C74" s="222">
        <v>4.8000000000000001E-2</v>
      </c>
      <c r="D74" s="221" t="s">
        <v>370</v>
      </c>
      <c r="E74" s="268">
        <f>3500/2</f>
        <v>1750</v>
      </c>
      <c r="F74" s="221" t="s">
        <v>373</v>
      </c>
    </row>
    <row r="75" spans="1:12" x14ac:dyDescent="0.2">
      <c r="B75" s="221" t="s">
        <v>249</v>
      </c>
      <c r="C75" s="222">
        <v>6.4000000000000001E-2</v>
      </c>
      <c r="D75" s="221" t="s">
        <v>371</v>
      </c>
      <c r="E75" s="268">
        <v>4000</v>
      </c>
      <c r="F75" s="221" t="s">
        <v>373</v>
      </c>
    </row>
    <row r="76" spans="1:12" x14ac:dyDescent="0.2">
      <c r="B76" s="221" t="s">
        <v>411</v>
      </c>
      <c r="C76" s="222">
        <v>6.4000000000000001E-2</v>
      </c>
      <c r="D76" s="221" t="s">
        <v>371</v>
      </c>
      <c r="E76" s="268">
        <f>4000/2</f>
        <v>2000</v>
      </c>
      <c r="F76" s="221" t="s">
        <v>373</v>
      </c>
    </row>
    <row r="79" spans="1:12" s="262" customFormat="1" x14ac:dyDescent="0.2">
      <c r="A79" s="262">
        <f>Assessment!A13</f>
        <v>9</v>
      </c>
      <c r="B79" s="262" t="s">
        <v>129</v>
      </c>
      <c r="C79" s="278" t="s">
        <v>155</v>
      </c>
      <c r="D79" s="262" t="s">
        <v>71</v>
      </c>
      <c r="E79" s="263" t="s">
        <v>127</v>
      </c>
      <c r="F79" s="262" t="s">
        <v>71</v>
      </c>
      <c r="G79" s="264"/>
      <c r="H79" s="264"/>
      <c r="K79" s="264"/>
      <c r="L79" s="264"/>
    </row>
    <row r="80" spans="1:12" x14ac:dyDescent="0.2">
      <c r="B80" s="221" t="s">
        <v>121</v>
      </c>
      <c r="C80" s="222">
        <v>0</v>
      </c>
      <c r="D80" s="221" t="s">
        <v>121</v>
      </c>
      <c r="E80" s="268">
        <v>0</v>
      </c>
      <c r="F80" s="221" t="s">
        <v>121</v>
      </c>
    </row>
    <row r="81" spans="1:12" x14ac:dyDescent="0.2">
      <c r="B81" s="221" t="s">
        <v>131</v>
      </c>
      <c r="C81" s="222">
        <v>0.1</v>
      </c>
      <c r="D81" s="221" t="s">
        <v>130</v>
      </c>
      <c r="E81" s="268">
        <f>(15+80)/2</f>
        <v>47.5</v>
      </c>
      <c r="F81" s="221" t="s">
        <v>130</v>
      </c>
    </row>
    <row r="82" spans="1:12" x14ac:dyDescent="0.2">
      <c r="B82" s="221" t="s">
        <v>133</v>
      </c>
      <c r="C82" s="222">
        <v>0.06</v>
      </c>
      <c r="D82" s="221" t="s">
        <v>132</v>
      </c>
      <c r="E82" s="268">
        <v>25</v>
      </c>
      <c r="F82" s="221" t="s">
        <v>430</v>
      </c>
    </row>
    <row r="83" spans="1:12" x14ac:dyDescent="0.2">
      <c r="B83" s="221" t="s">
        <v>476</v>
      </c>
      <c r="C83" s="222">
        <f>C82+C81</f>
        <v>0.16</v>
      </c>
      <c r="D83" s="221" t="s">
        <v>132</v>
      </c>
      <c r="E83" s="277">
        <f>E82+E81</f>
        <v>72.5</v>
      </c>
      <c r="F83" s="221" t="s">
        <v>430</v>
      </c>
    </row>
    <row r="84" spans="1:12" x14ac:dyDescent="0.2">
      <c r="C84" s="277"/>
    </row>
    <row r="85" spans="1:12" hidden="1" x14ac:dyDescent="0.2">
      <c r="A85" s="262" t="s">
        <v>91</v>
      </c>
      <c r="B85" s="262" t="s">
        <v>76</v>
      </c>
      <c r="C85" s="221" t="s">
        <v>87</v>
      </c>
    </row>
    <row r="86" spans="1:12" hidden="1" x14ac:dyDescent="0.2">
      <c r="B86" s="221" t="s">
        <v>86</v>
      </c>
      <c r="C86" s="221">
        <v>6000</v>
      </c>
      <c r="D86" s="221" t="s">
        <v>88</v>
      </c>
      <c r="F86" s="221" t="s">
        <v>88</v>
      </c>
    </row>
    <row r="87" spans="1:12" hidden="1" x14ac:dyDescent="0.2"/>
    <row r="88" spans="1:12" s="262" customFormat="1" x14ac:dyDescent="0.2">
      <c r="A88" s="262">
        <f>Assessment!A14</f>
        <v>10</v>
      </c>
      <c r="B88" s="262" t="s">
        <v>137</v>
      </c>
      <c r="C88" s="278" t="s">
        <v>155</v>
      </c>
      <c r="D88" s="262" t="s">
        <v>71</v>
      </c>
      <c r="E88" s="263" t="s">
        <v>127</v>
      </c>
      <c r="F88" s="262" t="s">
        <v>71</v>
      </c>
      <c r="G88" s="264"/>
      <c r="H88" s="264"/>
      <c r="K88" s="264"/>
      <c r="L88" s="264"/>
    </row>
    <row r="89" spans="1:12" x14ac:dyDescent="0.2">
      <c r="B89" s="221" t="s">
        <v>121</v>
      </c>
      <c r="C89" s="222">
        <v>0</v>
      </c>
      <c r="D89" s="221" t="s">
        <v>121</v>
      </c>
      <c r="E89" s="268">
        <v>0</v>
      </c>
      <c r="F89" s="221" t="s">
        <v>121</v>
      </c>
    </row>
    <row r="90" spans="1:12" x14ac:dyDescent="0.2">
      <c r="B90" s="221" t="s">
        <v>412</v>
      </c>
      <c r="C90" s="222">
        <v>0.20100000000000001</v>
      </c>
      <c r="D90" s="221" t="s">
        <v>349</v>
      </c>
      <c r="E90" s="268">
        <f>7500*1.5</f>
        <v>11250</v>
      </c>
      <c r="F90" s="221" t="s">
        <v>348</v>
      </c>
    </row>
    <row r="91" spans="1:12" x14ac:dyDescent="0.2">
      <c r="B91" s="221" t="s">
        <v>414</v>
      </c>
      <c r="C91" s="222">
        <v>0.20100000000000001</v>
      </c>
      <c r="D91" s="221" t="s">
        <v>349</v>
      </c>
      <c r="E91" s="268">
        <f>(7500*1.5)/2</f>
        <v>5625</v>
      </c>
      <c r="F91" s="221" t="s">
        <v>348</v>
      </c>
    </row>
    <row r="92" spans="1:12" x14ac:dyDescent="0.2">
      <c r="B92" s="221" t="s">
        <v>413</v>
      </c>
      <c r="C92" s="222">
        <v>0.40100000000000002</v>
      </c>
      <c r="D92" s="221" t="s">
        <v>349</v>
      </c>
      <c r="E92" s="268">
        <f>5000*3</f>
        <v>15000</v>
      </c>
      <c r="F92" s="221" t="s">
        <v>347</v>
      </c>
    </row>
    <row r="93" spans="1:12" s="226" customFormat="1" x14ac:dyDescent="0.2">
      <c r="B93" s="226" t="s">
        <v>415</v>
      </c>
      <c r="C93" s="129">
        <v>0.40100000000000002</v>
      </c>
      <c r="D93" s="226" t="s">
        <v>349</v>
      </c>
      <c r="E93" s="274">
        <f>(5000*3)/2</f>
        <v>7500</v>
      </c>
      <c r="F93" s="226" t="s">
        <v>347</v>
      </c>
      <c r="G93" s="275"/>
      <c r="H93" s="275"/>
      <c r="K93" s="275"/>
      <c r="L93" s="275"/>
    </row>
    <row r="94" spans="1:12" x14ac:dyDescent="0.2">
      <c r="C94" s="277"/>
    </row>
    <row r="95" spans="1:12" x14ac:dyDescent="0.2">
      <c r="A95" s="262">
        <f>Assessment!A16</f>
        <v>11</v>
      </c>
      <c r="B95" s="262" t="s">
        <v>352</v>
      </c>
      <c r="C95" s="221" t="s">
        <v>94</v>
      </c>
      <c r="E95" s="221"/>
    </row>
    <row r="96" spans="1:12" x14ac:dyDescent="0.2">
      <c r="B96" s="262" t="s">
        <v>106</v>
      </c>
      <c r="C96" s="279">
        <f>'Tables 4-9'!D11</f>
        <v>3.8922806123202176</v>
      </c>
      <c r="D96" s="221" t="s">
        <v>360</v>
      </c>
      <c r="E96" s="221"/>
    </row>
    <row r="97" spans="1:5" x14ac:dyDescent="0.2">
      <c r="B97" s="221" t="s">
        <v>219</v>
      </c>
      <c r="C97" s="272">
        <f>'Tables 4-9'!D$12</f>
        <v>2.9873518294106769</v>
      </c>
      <c r="D97" s="221" t="s">
        <v>360</v>
      </c>
      <c r="E97" s="221"/>
    </row>
    <row r="98" spans="1:5" x14ac:dyDescent="0.2">
      <c r="B98" s="270" t="s">
        <v>110</v>
      </c>
      <c r="C98" s="280">
        <v>2.8837924046553356</v>
      </c>
      <c r="D98" s="221" t="s">
        <v>360</v>
      </c>
      <c r="E98" s="221"/>
    </row>
    <row r="99" spans="1:5" x14ac:dyDescent="0.2">
      <c r="B99" s="226" t="s">
        <v>220</v>
      </c>
      <c r="C99" s="281">
        <f>'Tables 10-15'!M12</f>
        <v>2.7040064908763104</v>
      </c>
      <c r="D99" s="221" t="s">
        <v>360</v>
      </c>
      <c r="E99" s="221"/>
    </row>
    <row r="100" spans="1:5" x14ac:dyDescent="0.2">
      <c r="B100" s="221" t="s">
        <v>111</v>
      </c>
      <c r="C100" s="272">
        <f>'Tables 16-21'!D11</f>
        <v>4.3319405525409671</v>
      </c>
      <c r="D100" s="221" t="s">
        <v>360</v>
      </c>
      <c r="E100" s="221"/>
    </row>
    <row r="101" spans="1:5" x14ac:dyDescent="0.2">
      <c r="B101" s="221" t="s">
        <v>221</v>
      </c>
      <c r="C101" s="272">
        <f>'Tables 16-21'!D12</f>
        <v>3.4601504576278148</v>
      </c>
      <c r="D101" s="221" t="s">
        <v>360</v>
      </c>
      <c r="E101" s="221"/>
    </row>
    <row r="102" spans="1:5" x14ac:dyDescent="0.2">
      <c r="A102" s="221"/>
      <c r="B102" s="221" t="s">
        <v>108</v>
      </c>
      <c r="C102" s="272">
        <f>'Tables 10-15'!M11</f>
        <v>3.9653958507761295</v>
      </c>
      <c r="D102" s="221" t="s">
        <v>360</v>
      </c>
      <c r="E102" s="221"/>
    </row>
    <row r="103" spans="1:5" x14ac:dyDescent="0.2">
      <c r="A103" s="221"/>
      <c r="B103" s="221" t="s">
        <v>222</v>
      </c>
      <c r="C103" s="272">
        <f>'Tables 10-15'!M12</f>
        <v>2.7040064908763104</v>
      </c>
      <c r="D103" s="221" t="s">
        <v>360</v>
      </c>
      <c r="E103" s="221"/>
    </row>
    <row r="104" spans="1:5" x14ac:dyDescent="0.2">
      <c r="A104" s="221"/>
      <c r="B104" s="221" t="s">
        <v>107</v>
      </c>
      <c r="C104" s="272">
        <f>'Tables 4-9'!M11</f>
        <v>5.1395570018856942</v>
      </c>
      <c r="D104" s="221" t="s">
        <v>360</v>
      </c>
      <c r="E104" s="221"/>
    </row>
    <row r="105" spans="1:5" x14ac:dyDescent="0.2">
      <c r="A105" s="221"/>
      <c r="B105" s="221" t="s">
        <v>223</v>
      </c>
      <c r="C105" s="272">
        <f>'Tables 4-9'!M12</f>
        <v>3.9669720780617248</v>
      </c>
      <c r="D105" s="221" t="s">
        <v>360</v>
      </c>
      <c r="E105" s="221"/>
    </row>
    <row r="106" spans="1:5" x14ac:dyDescent="0.2">
      <c r="A106" s="221"/>
      <c r="B106" s="270" t="s">
        <v>109</v>
      </c>
      <c r="C106" s="280">
        <f>'Tables 16-21'!M11</f>
        <v>6.198412521240285</v>
      </c>
      <c r="D106" s="221" t="s">
        <v>360</v>
      </c>
      <c r="E106" s="221"/>
    </row>
    <row r="107" spans="1:5" x14ac:dyDescent="0.2">
      <c r="A107" s="221"/>
      <c r="B107" s="221" t="s">
        <v>224</v>
      </c>
      <c r="C107" s="272">
        <f>'Tables 16-21'!M12</f>
        <v>5.1049278633837449</v>
      </c>
      <c r="D107" s="221" t="s">
        <v>360</v>
      </c>
      <c r="E107" s="221"/>
    </row>
    <row r="108" spans="1:5" x14ac:dyDescent="0.2">
      <c r="A108" s="221"/>
      <c r="C108" s="272"/>
      <c r="E108" s="221"/>
    </row>
    <row r="109" spans="1:5" x14ac:dyDescent="0.2">
      <c r="A109" s="221"/>
      <c r="C109" s="272"/>
      <c r="E109" s="221"/>
    </row>
    <row r="110" spans="1:5" x14ac:dyDescent="0.2">
      <c r="A110" s="221">
        <f>Assessment!A17</f>
        <v>12</v>
      </c>
      <c r="B110" s="262" t="s">
        <v>353</v>
      </c>
      <c r="C110" s="221" t="s">
        <v>94</v>
      </c>
      <c r="E110" s="221"/>
    </row>
    <row r="111" spans="1:5" x14ac:dyDescent="0.2">
      <c r="A111" s="221"/>
      <c r="B111" s="262" t="s">
        <v>106</v>
      </c>
      <c r="C111" s="279">
        <f>'Tables 4-9'!D4</f>
        <v>11.990340165972022</v>
      </c>
      <c r="D111" s="221" t="s">
        <v>361</v>
      </c>
      <c r="E111" s="221"/>
    </row>
    <row r="112" spans="1:5" x14ac:dyDescent="0.2">
      <c r="A112" s="221"/>
      <c r="B112" s="226" t="s">
        <v>220</v>
      </c>
      <c r="C112" s="281">
        <f>'Tables 10-15'!D5</f>
        <v>7.6569867966488561</v>
      </c>
      <c r="D112" s="221" t="s">
        <v>361</v>
      </c>
      <c r="E112" s="221"/>
    </row>
    <row r="113" spans="1:13" x14ac:dyDescent="0.2">
      <c r="A113" s="221"/>
      <c r="B113" s="221" t="s">
        <v>111</v>
      </c>
      <c r="C113" s="272">
        <f>'Tables 16-21'!D4</f>
        <v>13.168452450305116</v>
      </c>
      <c r="D113" s="221" t="s">
        <v>361</v>
      </c>
      <c r="E113" s="221"/>
    </row>
    <row r="114" spans="1:13" x14ac:dyDescent="0.2">
      <c r="A114" s="221"/>
      <c r="B114" s="221" t="s">
        <v>221</v>
      </c>
      <c r="C114" s="272">
        <f>'Tables 16-21'!D5</f>
        <v>11.475398856238908</v>
      </c>
      <c r="D114" s="221" t="s">
        <v>361</v>
      </c>
      <c r="E114" s="221"/>
      <c r="M114" s="272"/>
    </row>
    <row r="115" spans="1:13" x14ac:dyDescent="0.2">
      <c r="A115" s="221"/>
      <c r="B115" s="270" t="s">
        <v>110</v>
      </c>
      <c r="C115" s="280">
        <f>'Tables 10-15'!D4</f>
        <v>9.4891764663743832</v>
      </c>
      <c r="D115" s="221" t="s">
        <v>361</v>
      </c>
      <c r="E115" s="221"/>
      <c r="M115" s="272"/>
    </row>
    <row r="116" spans="1:13" x14ac:dyDescent="0.2">
      <c r="A116" s="221"/>
      <c r="B116" s="221" t="s">
        <v>220</v>
      </c>
      <c r="C116" s="272">
        <f>'Tables 10-15'!D5</f>
        <v>7.6569867966488561</v>
      </c>
      <c r="D116" s="221" t="s">
        <v>361</v>
      </c>
      <c r="E116" s="221"/>
    </row>
    <row r="117" spans="1:13" x14ac:dyDescent="0.2">
      <c r="A117" s="221"/>
      <c r="B117" s="221" t="s">
        <v>107</v>
      </c>
      <c r="C117" s="272">
        <f>'Tables 4-9'!M4</f>
        <v>15.104604098937935</v>
      </c>
      <c r="D117" s="221" t="s">
        <v>361</v>
      </c>
      <c r="E117" s="221"/>
    </row>
    <row r="118" spans="1:13" x14ac:dyDescent="0.2">
      <c r="A118" s="221"/>
      <c r="B118" s="221" t="s">
        <v>223</v>
      </c>
      <c r="C118" s="272">
        <f>'Tables 4-9'!M5</f>
        <v>13.601563696713315</v>
      </c>
      <c r="D118" s="221" t="s">
        <v>361</v>
      </c>
      <c r="E118" s="221"/>
    </row>
    <row r="119" spans="1:13" x14ac:dyDescent="0.2">
      <c r="A119" s="221"/>
      <c r="B119" s="270" t="s">
        <v>109</v>
      </c>
      <c r="C119" s="280">
        <f>'Tables 16-21'!M4</f>
        <v>16.94414572180029</v>
      </c>
      <c r="D119" s="221" t="s">
        <v>361</v>
      </c>
      <c r="E119" s="221"/>
    </row>
    <row r="120" spans="1:13" x14ac:dyDescent="0.2">
      <c r="A120" s="221"/>
      <c r="B120" s="226" t="s">
        <v>224</v>
      </c>
      <c r="C120" s="281">
        <f>'Tables 16-21'!M5</f>
        <v>15.509352038248819</v>
      </c>
      <c r="D120" s="221" t="s">
        <v>361</v>
      </c>
      <c r="E120" s="221"/>
    </row>
    <row r="121" spans="1:13" x14ac:dyDescent="0.2">
      <c r="A121" s="221"/>
      <c r="B121" s="221" t="s">
        <v>108</v>
      </c>
      <c r="C121" s="272">
        <f>'Tables 10-15'!M4</f>
        <v>12.582769226744023</v>
      </c>
      <c r="D121" s="221" t="s">
        <v>361</v>
      </c>
      <c r="E121" s="221"/>
    </row>
    <row r="122" spans="1:13" x14ac:dyDescent="0.2">
      <c r="A122" s="221"/>
      <c r="B122" s="221" t="s">
        <v>222</v>
      </c>
      <c r="C122" s="272">
        <f>'Tables 10-15'!M5</f>
        <v>10.983356016239755</v>
      </c>
      <c r="D122" s="221" t="s">
        <v>361</v>
      </c>
      <c r="E122" s="221"/>
    </row>
    <row r="123" spans="1:13" x14ac:dyDescent="0.2">
      <c r="A123" s="221"/>
      <c r="C123" s="268"/>
      <c r="E123" s="221"/>
    </row>
    <row r="124" spans="1:13" x14ac:dyDescent="0.2">
      <c r="A124" s="221"/>
      <c r="B124" s="262" t="s">
        <v>218</v>
      </c>
      <c r="C124" s="221" t="s">
        <v>94</v>
      </c>
      <c r="E124" s="221"/>
    </row>
    <row r="125" spans="1:13" x14ac:dyDescent="0.2">
      <c r="A125" s="221"/>
      <c r="B125" s="262" t="s">
        <v>106</v>
      </c>
      <c r="C125" s="279">
        <v>3.8922806123202176</v>
      </c>
      <c r="D125" s="221" t="s">
        <v>95</v>
      </c>
      <c r="E125" s="221"/>
    </row>
    <row r="126" spans="1:13" x14ac:dyDescent="0.2">
      <c r="A126" s="221"/>
      <c r="B126" s="221" t="s">
        <v>110</v>
      </c>
      <c r="C126" s="272">
        <v>2.8837924046553356</v>
      </c>
      <c r="D126" s="221" t="s">
        <v>95</v>
      </c>
      <c r="E126" s="221"/>
    </row>
    <row r="127" spans="1:13" x14ac:dyDescent="0.2">
      <c r="A127" s="221"/>
      <c r="B127" s="221" t="s">
        <v>111</v>
      </c>
      <c r="C127" s="272">
        <v>4.3319405525409671</v>
      </c>
      <c r="D127" s="221" t="s">
        <v>95</v>
      </c>
      <c r="E127" s="221"/>
    </row>
    <row r="128" spans="1:13" x14ac:dyDescent="0.2">
      <c r="A128" s="221"/>
      <c r="B128" s="221" t="s">
        <v>107</v>
      </c>
      <c r="C128" s="272">
        <v>5.1395570018856942</v>
      </c>
      <c r="D128" s="221" t="s">
        <v>95</v>
      </c>
      <c r="E128" s="221"/>
    </row>
    <row r="129" spans="1:5" x14ac:dyDescent="0.2">
      <c r="A129" s="221"/>
      <c r="B129" s="221" t="s">
        <v>108</v>
      </c>
      <c r="C129" s="272">
        <v>3.9653958507761295</v>
      </c>
      <c r="D129" s="221" t="s">
        <v>95</v>
      </c>
      <c r="E129" s="221"/>
    </row>
    <row r="130" spans="1:5" x14ac:dyDescent="0.2">
      <c r="A130" s="221"/>
      <c r="B130" s="221" t="s">
        <v>109</v>
      </c>
      <c r="C130" s="272">
        <v>6.198412521240285</v>
      </c>
      <c r="D130" s="221" t="s">
        <v>95</v>
      </c>
      <c r="E130" s="221"/>
    </row>
    <row r="131" spans="1:5" x14ac:dyDescent="0.2">
      <c r="A131" s="221"/>
      <c r="C131" s="272"/>
      <c r="E131" s="221"/>
    </row>
    <row r="132" spans="1:5" x14ac:dyDescent="0.2">
      <c r="A132" s="221"/>
      <c r="B132" s="262" t="s">
        <v>225</v>
      </c>
      <c r="C132" s="221" t="s">
        <v>94</v>
      </c>
      <c r="E132" s="221"/>
    </row>
    <row r="133" spans="1:5" x14ac:dyDescent="0.2">
      <c r="A133" s="221"/>
      <c r="B133" s="262" t="s">
        <v>106</v>
      </c>
      <c r="C133" s="279">
        <v>11.990340165972022</v>
      </c>
      <c r="D133" s="221" t="s">
        <v>95</v>
      </c>
      <c r="E133" s="221"/>
    </row>
    <row r="134" spans="1:5" x14ac:dyDescent="0.2">
      <c r="A134" s="221"/>
      <c r="B134" s="221" t="s">
        <v>110</v>
      </c>
      <c r="C134" s="272">
        <v>9.4891764663743832</v>
      </c>
      <c r="D134" s="221" t="s">
        <v>95</v>
      </c>
      <c r="E134" s="221"/>
    </row>
    <row r="135" spans="1:5" x14ac:dyDescent="0.2">
      <c r="A135" s="221"/>
      <c r="B135" s="221" t="s">
        <v>111</v>
      </c>
      <c r="C135" s="272">
        <v>13.168452450305116</v>
      </c>
      <c r="D135" s="221" t="s">
        <v>95</v>
      </c>
      <c r="E135" s="221"/>
    </row>
    <row r="136" spans="1:5" x14ac:dyDescent="0.2">
      <c r="A136" s="221"/>
      <c r="B136" s="221" t="s">
        <v>107</v>
      </c>
      <c r="C136" s="272">
        <v>15.104604098937935</v>
      </c>
      <c r="D136" s="221" t="s">
        <v>95</v>
      </c>
      <c r="E136" s="221"/>
    </row>
    <row r="137" spans="1:5" x14ac:dyDescent="0.2">
      <c r="A137" s="221"/>
      <c r="B137" s="221" t="s">
        <v>108</v>
      </c>
      <c r="C137" s="272">
        <v>12.582769226744023</v>
      </c>
      <c r="D137" s="221" t="s">
        <v>95</v>
      </c>
      <c r="E137" s="221"/>
    </row>
    <row r="138" spans="1:5" x14ac:dyDescent="0.2">
      <c r="A138" s="221"/>
      <c r="B138" s="221" t="s">
        <v>109</v>
      </c>
      <c r="C138" s="272">
        <v>13.601563696713315</v>
      </c>
      <c r="D138" s="221" t="s">
        <v>95</v>
      </c>
      <c r="E138" s="221"/>
    </row>
    <row r="139" spans="1:5" x14ac:dyDescent="0.2">
      <c r="A139" s="221"/>
      <c r="C139" s="272"/>
      <c r="E139" s="221"/>
    </row>
    <row r="140" spans="1:5" x14ac:dyDescent="0.2">
      <c r="A140" s="221">
        <f>Assessment!A18</f>
        <v>13</v>
      </c>
      <c r="B140" s="262" t="s">
        <v>171</v>
      </c>
      <c r="C140" s="221" t="s">
        <v>175</v>
      </c>
      <c r="E140" s="221"/>
    </row>
    <row r="141" spans="1:5" x14ac:dyDescent="0.2">
      <c r="A141" s="221"/>
      <c r="B141" s="262" t="s">
        <v>285</v>
      </c>
      <c r="C141" s="244">
        <v>0</v>
      </c>
      <c r="D141" s="221" t="s">
        <v>334</v>
      </c>
      <c r="E141" s="221"/>
    </row>
    <row r="142" spans="1:5" x14ac:dyDescent="0.2">
      <c r="A142" s="221"/>
      <c r="B142" s="270" t="s">
        <v>23</v>
      </c>
      <c r="C142" s="282">
        <v>1.4999999999999999E-2</v>
      </c>
      <c r="D142" s="225" t="s">
        <v>89</v>
      </c>
      <c r="E142" s="221"/>
    </row>
    <row r="143" spans="1:5" x14ac:dyDescent="0.2">
      <c r="A143" s="221"/>
      <c r="B143" s="221" t="s">
        <v>70</v>
      </c>
      <c r="C143" s="283">
        <v>0.03</v>
      </c>
      <c r="D143" s="225" t="s">
        <v>89</v>
      </c>
      <c r="E143" s="221"/>
    </row>
    <row r="144" spans="1:5" x14ac:dyDescent="0.2">
      <c r="A144" s="221"/>
      <c r="B144" s="270" t="s">
        <v>24</v>
      </c>
      <c r="C144" s="282">
        <v>4.4999999999999998E-2</v>
      </c>
      <c r="D144" s="225" t="s">
        <v>89</v>
      </c>
      <c r="E144" s="221"/>
    </row>
    <row r="145" spans="1:5" x14ac:dyDescent="0.2">
      <c r="A145" s="221"/>
      <c r="C145" s="272"/>
      <c r="E145" s="221"/>
    </row>
    <row r="146" spans="1:5" x14ac:dyDescent="0.2">
      <c r="A146" s="221"/>
      <c r="C146" s="272"/>
      <c r="E146" s="221"/>
    </row>
    <row r="147" spans="1:5" x14ac:dyDescent="0.2">
      <c r="A147" s="221">
        <f>Assessment!A19</f>
        <v>14</v>
      </c>
      <c r="B147" s="262" t="s">
        <v>172</v>
      </c>
      <c r="C147" s="221" t="s">
        <v>175</v>
      </c>
      <c r="E147" s="221"/>
    </row>
    <row r="148" spans="1:5" x14ac:dyDescent="0.2">
      <c r="A148" s="221"/>
      <c r="B148" s="262" t="s">
        <v>285</v>
      </c>
      <c r="C148" s="244">
        <v>0</v>
      </c>
      <c r="D148" s="221" t="s">
        <v>334</v>
      </c>
      <c r="E148" s="221"/>
    </row>
    <row r="149" spans="1:5" x14ac:dyDescent="0.2">
      <c r="A149" s="221"/>
      <c r="B149" s="270" t="s">
        <v>23</v>
      </c>
      <c r="C149" s="282">
        <v>1.4999999999999999E-2</v>
      </c>
      <c r="D149" s="225" t="s">
        <v>89</v>
      </c>
      <c r="E149" s="221"/>
    </row>
    <row r="150" spans="1:5" x14ac:dyDescent="0.2">
      <c r="A150" s="221"/>
      <c r="B150" s="221" t="s">
        <v>70</v>
      </c>
      <c r="C150" s="283">
        <v>0.03</v>
      </c>
      <c r="D150" s="225" t="s">
        <v>89</v>
      </c>
      <c r="E150" s="221"/>
    </row>
    <row r="151" spans="1:5" x14ac:dyDescent="0.2">
      <c r="A151" s="221"/>
      <c r="B151" s="270" t="s">
        <v>24</v>
      </c>
      <c r="C151" s="282">
        <v>4.4999999999999998E-2</v>
      </c>
      <c r="D151" s="225" t="s">
        <v>89</v>
      </c>
      <c r="E151" s="221"/>
    </row>
    <row r="152" spans="1:5" x14ac:dyDescent="0.2">
      <c r="A152" s="221"/>
      <c r="C152" s="272"/>
      <c r="E152" s="221"/>
    </row>
    <row r="153" spans="1:5" hidden="1" x14ac:dyDescent="0.2">
      <c r="A153" s="221"/>
      <c r="B153" s="284" t="s">
        <v>202</v>
      </c>
      <c r="C153" s="221" t="s">
        <v>74</v>
      </c>
      <c r="E153" s="221"/>
    </row>
    <row r="154" spans="1:5" hidden="1" x14ac:dyDescent="0.2">
      <c r="A154" s="221"/>
      <c r="B154" s="221" t="s">
        <v>203</v>
      </c>
      <c r="C154" s="276">
        <v>6.3700000000000007E-2</v>
      </c>
      <c r="D154" s="221" t="s">
        <v>134</v>
      </c>
      <c r="E154" s="221"/>
    </row>
    <row r="155" spans="1:5" hidden="1" x14ac:dyDescent="0.2">
      <c r="A155" s="221"/>
      <c r="B155" s="221" t="s">
        <v>204</v>
      </c>
      <c r="C155" s="276">
        <v>0.2</v>
      </c>
      <c r="D155" s="221" t="s">
        <v>206</v>
      </c>
      <c r="E155" s="221"/>
    </row>
    <row r="156" spans="1:5" hidden="1" x14ac:dyDescent="0.2">
      <c r="A156" s="221"/>
      <c r="B156" s="221" t="s">
        <v>205</v>
      </c>
      <c r="C156" s="276">
        <v>0.25</v>
      </c>
      <c r="D156" s="221" t="s">
        <v>207</v>
      </c>
      <c r="E156" s="221"/>
    </row>
    <row r="157" spans="1:5" hidden="1" x14ac:dyDescent="0.2">
      <c r="A157" s="221"/>
      <c r="C157" s="276"/>
      <c r="E157" s="221"/>
    </row>
    <row r="158" spans="1:5" x14ac:dyDescent="0.2">
      <c r="A158" s="221">
        <f>Assessment!A21</f>
        <v>15</v>
      </c>
      <c r="B158" s="284" t="s">
        <v>434</v>
      </c>
      <c r="C158" s="221" t="s">
        <v>74</v>
      </c>
      <c r="E158" s="221"/>
    </row>
    <row r="159" spans="1:5" x14ac:dyDescent="0.2">
      <c r="A159" s="221"/>
      <c r="B159" s="285" t="s">
        <v>302</v>
      </c>
      <c r="C159" s="286">
        <v>0.2</v>
      </c>
      <c r="D159" s="221" t="s">
        <v>387</v>
      </c>
      <c r="E159" s="221"/>
    </row>
    <row r="160" spans="1:5" x14ac:dyDescent="0.2">
      <c r="A160" s="221"/>
      <c r="B160" s="287" t="s">
        <v>303</v>
      </c>
      <c r="C160" s="288">
        <v>0.25</v>
      </c>
      <c r="D160" s="221" t="s">
        <v>207</v>
      </c>
      <c r="E160" s="221"/>
    </row>
    <row r="161" spans="1:12" x14ac:dyDescent="0.2">
      <c r="A161" s="221"/>
      <c r="B161" s="287" t="s">
        <v>375</v>
      </c>
      <c r="C161" s="288">
        <v>0.09</v>
      </c>
      <c r="D161" s="221" t="s">
        <v>170</v>
      </c>
      <c r="E161" s="221"/>
    </row>
    <row r="162" spans="1:12" s="289" customFormat="1" x14ac:dyDescent="0.2">
      <c r="B162" s="290" t="s">
        <v>385</v>
      </c>
      <c r="C162" s="291">
        <v>0</v>
      </c>
      <c r="D162" s="289" t="s">
        <v>386</v>
      </c>
      <c r="G162" s="266"/>
      <c r="H162" s="266"/>
      <c r="K162" s="266"/>
      <c r="L162" s="266"/>
    </row>
    <row r="163" spans="1:12" x14ac:dyDescent="0.2">
      <c r="A163" s="221"/>
      <c r="B163" s="292"/>
      <c r="C163" s="276"/>
      <c r="E163" s="221"/>
    </row>
    <row r="164" spans="1:12" x14ac:dyDescent="0.2">
      <c r="A164" s="221"/>
      <c r="B164" s="292"/>
      <c r="C164" s="276"/>
      <c r="E164" s="221"/>
    </row>
    <row r="165" spans="1:12" x14ac:dyDescent="0.2">
      <c r="A165" s="221">
        <f>Assessment!A22</f>
        <v>16</v>
      </c>
      <c r="B165" s="284" t="s">
        <v>300</v>
      </c>
      <c r="C165" s="221" t="s">
        <v>74</v>
      </c>
      <c r="E165" s="221"/>
    </row>
    <row r="166" spans="1:12" x14ac:dyDescent="0.2">
      <c r="A166" s="221"/>
      <c r="B166" s="285" t="s">
        <v>301</v>
      </c>
      <c r="C166" s="286">
        <v>0.05</v>
      </c>
      <c r="D166" s="221" t="s">
        <v>272</v>
      </c>
      <c r="E166" s="221"/>
    </row>
    <row r="167" spans="1:12" x14ac:dyDescent="0.2">
      <c r="A167" s="221"/>
      <c r="B167" s="285" t="s">
        <v>302</v>
      </c>
      <c r="C167" s="286">
        <v>0.2</v>
      </c>
      <c r="D167" s="221" t="s">
        <v>387</v>
      </c>
      <c r="E167" s="221"/>
    </row>
    <row r="168" spans="1:12" x14ac:dyDescent="0.2">
      <c r="A168" s="221"/>
      <c r="B168" s="287" t="s">
        <v>375</v>
      </c>
      <c r="C168" s="288">
        <v>0.09</v>
      </c>
      <c r="D168" s="221" t="s">
        <v>170</v>
      </c>
      <c r="E168" s="221"/>
    </row>
    <row r="169" spans="1:12" x14ac:dyDescent="0.2">
      <c r="A169" s="221"/>
      <c r="B169" s="293" t="s">
        <v>376</v>
      </c>
      <c r="C169" s="276">
        <v>7.0000000000000007E-2</v>
      </c>
      <c r="D169" s="221" t="s">
        <v>170</v>
      </c>
      <c r="E169" s="221"/>
    </row>
    <row r="170" spans="1:12" x14ac:dyDescent="0.2">
      <c r="A170" s="221"/>
      <c r="B170" s="293" t="s">
        <v>377</v>
      </c>
      <c r="C170" s="276">
        <v>0.05</v>
      </c>
      <c r="D170" s="221" t="s">
        <v>170</v>
      </c>
      <c r="E170" s="221"/>
    </row>
    <row r="171" spans="1:12" x14ac:dyDescent="0.2">
      <c r="A171" s="221"/>
      <c r="B171" s="287" t="s">
        <v>378</v>
      </c>
      <c r="C171" s="288">
        <v>0.03</v>
      </c>
      <c r="D171" s="221" t="s">
        <v>170</v>
      </c>
      <c r="E171" s="221"/>
    </row>
    <row r="172" spans="1:12" s="289" customFormat="1" x14ac:dyDescent="0.2">
      <c r="B172" s="290" t="s">
        <v>385</v>
      </c>
      <c r="C172" s="291">
        <v>0</v>
      </c>
      <c r="D172" s="289" t="s">
        <v>386</v>
      </c>
      <c r="G172" s="266"/>
      <c r="H172" s="266"/>
      <c r="K172" s="266"/>
      <c r="L172" s="266"/>
    </row>
    <row r="173" spans="1:12" x14ac:dyDescent="0.2">
      <c r="A173" s="221"/>
      <c r="C173" s="276"/>
      <c r="E173" s="221"/>
    </row>
    <row r="174" spans="1:12" x14ac:dyDescent="0.2">
      <c r="A174" s="221"/>
      <c r="C174" s="276"/>
      <c r="E174" s="221"/>
    </row>
    <row r="175" spans="1:12" x14ac:dyDescent="0.2">
      <c r="A175" s="221">
        <f>Assessment!A23</f>
        <v>17</v>
      </c>
      <c r="B175" s="284" t="s">
        <v>559</v>
      </c>
      <c r="C175" s="221" t="s">
        <v>99</v>
      </c>
      <c r="E175" s="221"/>
    </row>
    <row r="176" spans="1:12" x14ac:dyDescent="0.2">
      <c r="A176" s="221"/>
      <c r="B176" s="221" t="s">
        <v>149</v>
      </c>
      <c r="C176" s="221">
        <v>1</v>
      </c>
      <c r="D176" s="221" t="s">
        <v>366</v>
      </c>
      <c r="E176" s="221"/>
    </row>
    <row r="177" spans="1:5" x14ac:dyDescent="0.2">
      <c r="A177" s="221"/>
      <c r="B177" s="221" t="s">
        <v>146</v>
      </c>
      <c r="C177" s="221">
        <v>2</v>
      </c>
      <c r="D177" s="221" t="s">
        <v>366</v>
      </c>
      <c r="E177" s="221"/>
    </row>
    <row r="178" spans="1:5" x14ac:dyDescent="0.2">
      <c r="A178" s="221"/>
      <c r="B178" s="221" t="s">
        <v>147</v>
      </c>
      <c r="C178" s="221">
        <v>3</v>
      </c>
      <c r="D178" s="221" t="s">
        <v>366</v>
      </c>
      <c r="E178" s="221"/>
    </row>
    <row r="179" spans="1:5" x14ac:dyDescent="0.2">
      <c r="A179" s="221"/>
      <c r="B179" s="221" t="s">
        <v>148</v>
      </c>
      <c r="C179" s="221">
        <v>4</v>
      </c>
      <c r="D179" s="221" t="s">
        <v>366</v>
      </c>
      <c r="E179" s="221"/>
    </row>
    <row r="180" spans="1:5" x14ac:dyDescent="0.2">
      <c r="A180" s="221"/>
      <c r="B180" s="221" t="s">
        <v>145</v>
      </c>
      <c r="C180" s="221">
        <v>5</v>
      </c>
      <c r="D180" s="221" t="s">
        <v>366</v>
      </c>
      <c r="E180" s="221"/>
    </row>
    <row r="181" spans="1:5" x14ac:dyDescent="0.2">
      <c r="A181" s="221"/>
      <c r="B181" s="221" t="s">
        <v>164</v>
      </c>
      <c r="C181" s="221">
        <v>6</v>
      </c>
      <c r="D181" s="221" t="s">
        <v>366</v>
      </c>
      <c r="E181" s="221"/>
    </row>
    <row r="182" spans="1:5" x14ac:dyDescent="0.2">
      <c r="A182" s="221"/>
      <c r="B182" s="221" t="s">
        <v>165</v>
      </c>
      <c r="C182" s="221">
        <v>7</v>
      </c>
      <c r="D182" s="221" t="s">
        <v>366</v>
      </c>
      <c r="E182" s="221"/>
    </row>
    <row r="183" spans="1:5" x14ac:dyDescent="0.2">
      <c r="A183" s="221"/>
      <c r="B183" s="221" t="s">
        <v>166</v>
      </c>
      <c r="C183" s="221">
        <v>8</v>
      </c>
      <c r="D183" s="221" t="s">
        <v>366</v>
      </c>
      <c r="E183" s="221"/>
    </row>
    <row r="184" spans="1:5" x14ac:dyDescent="0.2">
      <c r="A184" s="221"/>
      <c r="B184" s="221" t="s">
        <v>167</v>
      </c>
      <c r="C184" s="221">
        <v>9</v>
      </c>
      <c r="D184" s="221" t="s">
        <v>366</v>
      </c>
      <c r="E184" s="221"/>
    </row>
    <row r="185" spans="1:5" x14ac:dyDescent="0.2">
      <c r="A185" s="221"/>
      <c r="B185" s="221" t="s">
        <v>168</v>
      </c>
      <c r="C185" s="221">
        <v>10</v>
      </c>
      <c r="D185" s="221" t="s">
        <v>366</v>
      </c>
      <c r="E185" s="221"/>
    </row>
    <row r="186" spans="1:5" x14ac:dyDescent="0.2">
      <c r="A186" s="221"/>
      <c r="B186" s="221" t="s">
        <v>169</v>
      </c>
      <c r="C186" s="221">
        <v>25</v>
      </c>
      <c r="D186" s="221" t="s">
        <v>366</v>
      </c>
      <c r="E186" s="221"/>
    </row>
    <row r="187" spans="1:5" x14ac:dyDescent="0.2">
      <c r="A187" s="221"/>
      <c r="C187" s="272"/>
      <c r="E187" s="221"/>
    </row>
    <row r="188" spans="1:5" x14ac:dyDescent="0.2">
      <c r="A188" s="221">
        <f>Assessment!A25</f>
        <v>18</v>
      </c>
      <c r="B188" s="262" t="s">
        <v>435</v>
      </c>
      <c r="C188" s="221" t="s">
        <v>74</v>
      </c>
      <c r="E188" s="221"/>
    </row>
    <row r="189" spans="1:5" x14ac:dyDescent="0.2">
      <c r="A189" s="221"/>
      <c r="B189" s="262" t="s">
        <v>431</v>
      </c>
      <c r="C189" s="243">
        <v>0.25</v>
      </c>
      <c r="D189" s="221" t="s">
        <v>232</v>
      </c>
      <c r="E189" s="221"/>
    </row>
    <row r="190" spans="1:5" x14ac:dyDescent="0.2">
      <c r="A190" s="221"/>
      <c r="B190" s="270" t="s">
        <v>275</v>
      </c>
      <c r="C190" s="294">
        <v>0</v>
      </c>
      <c r="D190" s="221" t="s">
        <v>89</v>
      </c>
      <c r="E190" s="221"/>
    </row>
    <row r="191" spans="1:5" x14ac:dyDescent="0.2">
      <c r="A191" s="221"/>
      <c r="B191" s="221" t="s">
        <v>227</v>
      </c>
      <c r="C191" s="222">
        <v>0.15</v>
      </c>
      <c r="D191" s="221" t="s">
        <v>437</v>
      </c>
      <c r="E191" s="221"/>
    </row>
    <row r="192" spans="1:5" x14ac:dyDescent="0.2">
      <c r="A192" s="221"/>
      <c r="B192" s="270" t="s">
        <v>274</v>
      </c>
      <c r="C192" s="294">
        <v>0.5</v>
      </c>
      <c r="D192" s="221" t="s">
        <v>232</v>
      </c>
      <c r="E192" s="221"/>
    </row>
    <row r="193" spans="1:5" hidden="1" x14ac:dyDescent="0.2">
      <c r="A193" s="221"/>
      <c r="C193" s="222"/>
      <c r="E193" s="221"/>
    </row>
    <row r="194" spans="1:5" hidden="1" x14ac:dyDescent="0.2">
      <c r="A194" s="221"/>
      <c r="B194" s="262" t="s">
        <v>230</v>
      </c>
      <c r="C194" s="221" t="s">
        <v>74</v>
      </c>
      <c r="E194" s="221"/>
    </row>
    <row r="195" spans="1:5" hidden="1" x14ac:dyDescent="0.2">
      <c r="A195" s="221"/>
      <c r="B195" s="221" t="s">
        <v>228</v>
      </c>
      <c r="C195" s="222">
        <v>0</v>
      </c>
      <c r="E195" s="221"/>
    </row>
    <row r="196" spans="1:5" hidden="1" x14ac:dyDescent="0.2">
      <c r="A196" s="221"/>
      <c r="B196" s="221" t="s">
        <v>226</v>
      </c>
      <c r="C196" s="222">
        <v>0.35</v>
      </c>
      <c r="D196" s="221" t="s">
        <v>229</v>
      </c>
      <c r="E196" s="221"/>
    </row>
    <row r="197" spans="1:5" hidden="1" x14ac:dyDescent="0.2">
      <c r="A197" s="221"/>
      <c r="C197" s="272"/>
      <c r="E197" s="221"/>
    </row>
    <row r="198" spans="1:5" hidden="1" x14ac:dyDescent="0.2">
      <c r="A198" s="221"/>
      <c r="B198" s="262" t="s">
        <v>231</v>
      </c>
      <c r="C198" s="221" t="s">
        <v>74</v>
      </c>
      <c r="E198" s="221"/>
    </row>
    <row r="199" spans="1:5" hidden="1" x14ac:dyDescent="0.2">
      <c r="A199" s="221"/>
      <c r="B199" s="221" t="s">
        <v>228</v>
      </c>
      <c r="C199" s="222">
        <v>0</v>
      </c>
      <c r="E199" s="221"/>
    </row>
    <row r="200" spans="1:5" hidden="1" x14ac:dyDescent="0.2">
      <c r="A200" s="221"/>
      <c r="B200" s="221" t="s">
        <v>226</v>
      </c>
      <c r="C200" s="222">
        <v>0.15</v>
      </c>
      <c r="D200" s="221" t="s">
        <v>229</v>
      </c>
      <c r="E200" s="221"/>
    </row>
    <row r="201" spans="1:5" x14ac:dyDescent="0.2">
      <c r="A201" s="221"/>
      <c r="C201" s="272"/>
      <c r="E201" s="221"/>
    </row>
    <row r="202" spans="1:5" x14ac:dyDescent="0.2">
      <c r="A202" s="221">
        <f>Assessment!A26</f>
        <v>19</v>
      </c>
      <c r="B202" s="262" t="s">
        <v>436</v>
      </c>
      <c r="C202" s="221" t="s">
        <v>74</v>
      </c>
      <c r="E202" s="221"/>
    </row>
    <row r="203" spans="1:5" x14ac:dyDescent="0.2">
      <c r="A203" s="221"/>
      <c r="B203" s="262" t="s">
        <v>431</v>
      </c>
      <c r="C203" s="243">
        <v>0.2</v>
      </c>
      <c r="D203" s="221" t="s">
        <v>232</v>
      </c>
      <c r="E203" s="221"/>
    </row>
    <row r="204" spans="1:5" x14ac:dyDescent="0.2">
      <c r="A204" s="221"/>
      <c r="B204" s="270" t="s">
        <v>275</v>
      </c>
      <c r="C204" s="294">
        <v>0</v>
      </c>
      <c r="D204" s="221" t="s">
        <v>89</v>
      </c>
      <c r="E204" s="221"/>
    </row>
    <row r="205" spans="1:5" x14ac:dyDescent="0.2">
      <c r="A205" s="221"/>
      <c r="B205" s="221" t="s">
        <v>227</v>
      </c>
      <c r="C205" s="222">
        <v>0.15</v>
      </c>
      <c r="D205" s="221" t="s">
        <v>273</v>
      </c>
      <c r="E205" s="221"/>
    </row>
    <row r="206" spans="1:5" x14ac:dyDescent="0.2">
      <c r="A206" s="221"/>
      <c r="B206" s="270" t="s">
        <v>274</v>
      </c>
      <c r="C206" s="294">
        <v>0.4</v>
      </c>
      <c r="D206" s="221" t="s">
        <v>232</v>
      </c>
      <c r="E206" s="221"/>
    </row>
    <row r="207" spans="1:5" x14ac:dyDescent="0.2">
      <c r="A207" s="221"/>
      <c r="C207" s="222"/>
      <c r="E207" s="221"/>
    </row>
    <row r="208" spans="1:5" x14ac:dyDescent="0.2">
      <c r="A208" s="221">
        <f>Assessment!A28</f>
        <v>20</v>
      </c>
      <c r="B208" s="262" t="s">
        <v>438</v>
      </c>
      <c r="C208" s="221" t="s">
        <v>74</v>
      </c>
      <c r="E208" s="221"/>
    </row>
    <row r="209" spans="1:10" x14ac:dyDescent="0.2">
      <c r="A209" s="221"/>
      <c r="B209" s="262" t="s">
        <v>252</v>
      </c>
      <c r="C209" s="286">
        <v>0.1</v>
      </c>
      <c r="D209" s="221" t="s">
        <v>89</v>
      </c>
      <c r="E209" s="221"/>
    </row>
    <row r="210" spans="1:10" x14ac:dyDescent="0.2">
      <c r="A210" s="221"/>
      <c r="B210" s="226" t="s">
        <v>159</v>
      </c>
      <c r="C210" s="295">
        <v>0</v>
      </c>
      <c r="D210" s="221" t="s">
        <v>121</v>
      </c>
      <c r="E210" s="221"/>
    </row>
    <row r="211" spans="1:10" x14ac:dyDescent="0.2">
      <c r="A211" s="221"/>
      <c r="B211" s="270" t="s">
        <v>251</v>
      </c>
      <c r="C211" s="288">
        <v>0.05</v>
      </c>
      <c r="D211" s="221" t="s">
        <v>89</v>
      </c>
      <c r="E211" s="221"/>
    </row>
    <row r="212" spans="1:10" x14ac:dyDescent="0.2">
      <c r="A212" s="221"/>
      <c r="B212" s="270" t="s">
        <v>253</v>
      </c>
      <c r="C212" s="288">
        <v>0.2</v>
      </c>
      <c r="D212" s="221" t="s">
        <v>89</v>
      </c>
      <c r="E212" s="221"/>
    </row>
    <row r="213" spans="1:10" x14ac:dyDescent="0.2">
      <c r="A213" s="221"/>
      <c r="C213" s="272"/>
      <c r="E213" s="221"/>
    </row>
    <row r="214" spans="1:10" x14ac:dyDescent="0.2">
      <c r="A214" s="221">
        <f>Assessment!A29</f>
        <v>21</v>
      </c>
      <c r="B214" s="262" t="s">
        <v>439</v>
      </c>
      <c r="C214" s="221" t="s">
        <v>74</v>
      </c>
      <c r="E214" s="221"/>
    </row>
    <row r="215" spans="1:10" x14ac:dyDescent="0.2">
      <c r="A215" s="221"/>
      <c r="B215" s="262" t="s">
        <v>252</v>
      </c>
      <c r="C215" s="286">
        <v>0.05</v>
      </c>
      <c r="D215" s="221" t="s">
        <v>89</v>
      </c>
      <c r="E215" s="221"/>
    </row>
    <row r="216" spans="1:10" ht="13.5" customHeight="1" x14ac:dyDescent="0.2">
      <c r="A216" s="221"/>
      <c r="B216" s="226" t="s">
        <v>159</v>
      </c>
      <c r="C216" s="295">
        <v>0</v>
      </c>
      <c r="D216" s="221" t="s">
        <v>89</v>
      </c>
      <c r="E216" s="221"/>
    </row>
    <row r="217" spans="1:10" x14ac:dyDescent="0.2">
      <c r="A217" s="221"/>
      <c r="B217" s="270" t="s">
        <v>251</v>
      </c>
      <c r="C217" s="288">
        <v>2.5000000000000001E-2</v>
      </c>
      <c r="D217" s="221" t="s">
        <v>89</v>
      </c>
      <c r="E217" s="221"/>
    </row>
    <row r="218" spans="1:10" x14ac:dyDescent="0.2">
      <c r="A218" s="221"/>
      <c r="B218" s="270" t="s">
        <v>253</v>
      </c>
      <c r="C218" s="288">
        <v>0.1</v>
      </c>
      <c r="D218" s="221" t="s">
        <v>89</v>
      </c>
      <c r="E218" s="221"/>
    </row>
    <row r="219" spans="1:10" x14ac:dyDescent="0.2">
      <c r="A219" s="221"/>
      <c r="C219" s="272"/>
      <c r="E219" s="221"/>
    </row>
    <row r="220" spans="1:10" x14ac:dyDescent="0.2">
      <c r="A220" s="221">
        <f>Assessment!A31</f>
        <v>22</v>
      </c>
      <c r="B220" s="262" t="s">
        <v>290</v>
      </c>
      <c r="C220" s="221" t="s">
        <v>142</v>
      </c>
      <c r="E220" s="221"/>
    </row>
    <row r="221" spans="1:10" x14ac:dyDescent="0.2">
      <c r="A221" s="221"/>
      <c r="B221" s="221" t="s">
        <v>369</v>
      </c>
      <c r="C221" s="221">
        <v>0</v>
      </c>
      <c r="D221" s="221" t="s">
        <v>121</v>
      </c>
      <c r="E221" s="221"/>
    </row>
    <row r="222" spans="1:10" x14ac:dyDescent="0.2">
      <c r="A222" s="221"/>
      <c r="B222" s="262" t="s">
        <v>416</v>
      </c>
      <c r="C222" s="262">
        <f>((760*1.5)*0.21)+(((760*1.5)/2)*0.031)</f>
        <v>257.07</v>
      </c>
      <c r="D222" s="221" t="s">
        <v>350</v>
      </c>
      <c r="E222" s="221"/>
      <c r="J222" s="221">
        <f>268+19</f>
        <v>287</v>
      </c>
    </row>
    <row r="223" spans="1:10" x14ac:dyDescent="0.2">
      <c r="A223" s="221"/>
      <c r="B223" s="262" t="s">
        <v>417</v>
      </c>
      <c r="C223" s="262">
        <f>((760*3)*0.21)+(((760*3)/2)*0.031)</f>
        <v>514.14</v>
      </c>
      <c r="D223" s="221" t="s">
        <v>350</v>
      </c>
      <c r="E223" s="221"/>
      <c r="J223" s="221">
        <f>536+38</f>
        <v>574</v>
      </c>
    </row>
    <row r="225" spans="1:12" x14ac:dyDescent="0.2">
      <c r="A225" s="262">
        <f>Assessment!A32</f>
        <v>23</v>
      </c>
      <c r="B225" s="262" t="s">
        <v>139</v>
      </c>
      <c r="C225" s="221" t="s">
        <v>142</v>
      </c>
    </row>
    <row r="226" spans="1:12" x14ac:dyDescent="0.2">
      <c r="B226" s="221" t="s">
        <v>369</v>
      </c>
      <c r="C226" s="221">
        <v>0</v>
      </c>
      <c r="D226" s="221" t="s">
        <v>121</v>
      </c>
    </row>
    <row r="227" spans="1:12" x14ac:dyDescent="0.2">
      <c r="B227" s="226" t="s">
        <v>140</v>
      </c>
      <c r="C227" s="226">
        <v>118</v>
      </c>
      <c r="D227" s="221" t="s">
        <v>372</v>
      </c>
    </row>
    <row r="228" spans="1:12" x14ac:dyDescent="0.2">
      <c r="B228" s="226" t="s">
        <v>141</v>
      </c>
      <c r="C228" s="226">
        <v>157</v>
      </c>
      <c r="D228" s="221" t="s">
        <v>372</v>
      </c>
    </row>
    <row r="230" spans="1:12" x14ac:dyDescent="0.2">
      <c r="A230" s="221">
        <f>Assessment!A34</f>
        <v>24</v>
      </c>
      <c r="B230" s="262" t="s">
        <v>138</v>
      </c>
      <c r="C230" s="221" t="s">
        <v>74</v>
      </c>
      <c r="E230" s="221"/>
    </row>
    <row r="231" spans="1:12" x14ac:dyDescent="0.2">
      <c r="A231" s="221"/>
      <c r="B231" s="262" t="s">
        <v>277</v>
      </c>
      <c r="C231" s="243">
        <v>0.18</v>
      </c>
      <c r="D231" s="221" t="s">
        <v>276</v>
      </c>
      <c r="E231" s="221"/>
    </row>
    <row r="232" spans="1:12" x14ac:dyDescent="0.2">
      <c r="A232" s="221"/>
      <c r="B232" s="270" t="s">
        <v>216</v>
      </c>
      <c r="C232" s="294">
        <v>0.25</v>
      </c>
      <c r="D232" s="221" t="s">
        <v>89</v>
      </c>
      <c r="E232" s="221"/>
    </row>
    <row r="233" spans="1:12" x14ac:dyDescent="0.2">
      <c r="A233" s="221"/>
      <c r="B233" s="270" t="s">
        <v>506</v>
      </c>
      <c r="C233" s="294">
        <v>0.7</v>
      </c>
      <c r="D233" s="221" t="s">
        <v>507</v>
      </c>
      <c r="E233" s="221"/>
    </row>
    <row r="234" spans="1:12" x14ac:dyDescent="0.2">
      <c r="A234" s="221"/>
      <c r="B234" s="270" t="s">
        <v>217</v>
      </c>
      <c r="C234" s="294">
        <v>0.5</v>
      </c>
      <c r="D234" s="221" t="s">
        <v>89</v>
      </c>
      <c r="E234" s="221"/>
    </row>
    <row r="237" spans="1:12" s="262" customFormat="1" hidden="1" x14ac:dyDescent="0.2">
      <c r="A237" s="262">
        <v>13</v>
      </c>
      <c r="B237" s="262" t="s">
        <v>144</v>
      </c>
      <c r="C237" s="262" t="s">
        <v>80</v>
      </c>
      <c r="E237" s="268"/>
      <c r="G237" s="264"/>
      <c r="H237" s="264"/>
      <c r="K237" s="264"/>
      <c r="L237" s="264"/>
    </row>
    <row r="238" spans="1:12" hidden="1" x14ac:dyDescent="0.2">
      <c r="B238" s="221" t="s">
        <v>81</v>
      </c>
      <c r="C238" s="296">
        <f>'Table 1'!B5</f>
        <v>0.47954014047307586</v>
      </c>
      <c r="D238" s="221" t="s">
        <v>97</v>
      </c>
    </row>
    <row r="239" spans="1:12" hidden="1" x14ac:dyDescent="0.2">
      <c r="B239" s="221" t="s">
        <v>83</v>
      </c>
      <c r="C239" s="296">
        <f>'Table 1'!B10</f>
        <v>0.46016026736625754</v>
      </c>
      <c r="D239" s="221" t="s">
        <v>97</v>
      </c>
    </row>
    <row r="240" spans="1:12" hidden="1" x14ac:dyDescent="0.2">
      <c r="B240" s="221" t="s">
        <v>82</v>
      </c>
      <c r="C240" s="296">
        <f>'Table 1'!B15</f>
        <v>0.37238892626704373</v>
      </c>
      <c r="D240" s="221" t="s">
        <v>97</v>
      </c>
    </row>
    <row r="241" spans="1:12" hidden="1" x14ac:dyDescent="0.2">
      <c r="C241" s="296"/>
    </row>
    <row r="242" spans="1:12" s="262" customFormat="1" hidden="1" x14ac:dyDescent="0.2">
      <c r="A242" s="262">
        <v>14</v>
      </c>
      <c r="B242" s="262" t="s">
        <v>84</v>
      </c>
      <c r="C242" s="262" t="s">
        <v>80</v>
      </c>
      <c r="E242" s="268"/>
      <c r="G242" s="264"/>
      <c r="H242" s="264"/>
      <c r="K242" s="264"/>
      <c r="L242" s="264"/>
    </row>
    <row r="243" spans="1:12" s="262" customFormat="1" hidden="1" x14ac:dyDescent="0.2">
      <c r="B243" s="221" t="s">
        <v>81</v>
      </c>
      <c r="C243" s="226">
        <f>'Table 2a'!C7</f>
        <v>0.18357999999999999</v>
      </c>
      <c r="D243" s="221" t="s">
        <v>96</v>
      </c>
      <c r="E243" s="268"/>
      <c r="F243" s="221"/>
      <c r="G243" s="266"/>
      <c r="H243" s="266"/>
      <c r="I243" s="221"/>
      <c r="K243" s="266"/>
      <c r="L243" s="266"/>
    </row>
    <row r="244" spans="1:12" s="262" customFormat="1" hidden="1" x14ac:dyDescent="0.2">
      <c r="B244" s="221"/>
      <c r="C244" s="226"/>
      <c r="D244" s="221"/>
      <c r="E244" s="268"/>
      <c r="F244" s="221"/>
      <c r="G244" s="266"/>
      <c r="H244" s="266"/>
      <c r="I244" s="221"/>
      <c r="K244" s="266"/>
      <c r="L244" s="266"/>
    </row>
    <row r="245" spans="1:12" s="262" customFormat="1" hidden="1" x14ac:dyDescent="0.2">
      <c r="B245" s="262" t="s">
        <v>176</v>
      </c>
      <c r="C245" s="262" t="s">
        <v>5</v>
      </c>
      <c r="D245" s="262" t="s">
        <v>71</v>
      </c>
      <c r="E245" s="268"/>
      <c r="F245" s="221"/>
      <c r="G245" s="266"/>
      <c r="H245" s="266"/>
      <c r="I245" s="221"/>
      <c r="K245" s="266"/>
      <c r="L245" s="266"/>
    </row>
    <row r="246" spans="1:12" s="262" customFormat="1" hidden="1" x14ac:dyDescent="0.2">
      <c r="B246" s="221" t="s">
        <v>177</v>
      </c>
      <c r="C246" s="226">
        <v>16513</v>
      </c>
      <c r="D246" s="221" t="s">
        <v>178</v>
      </c>
      <c r="E246" s="268"/>
      <c r="F246" s="221"/>
      <c r="G246" s="266"/>
      <c r="H246" s="266"/>
      <c r="I246" s="221"/>
      <c r="K246" s="266"/>
      <c r="L246" s="266"/>
    </row>
    <row r="247" spans="1:12" s="262" customFormat="1" hidden="1" x14ac:dyDescent="0.2">
      <c r="B247" s="221" t="s">
        <v>179</v>
      </c>
      <c r="C247" s="226">
        <v>12383</v>
      </c>
      <c r="D247" s="221" t="s">
        <v>178</v>
      </c>
      <c r="E247" s="268"/>
      <c r="F247" s="221"/>
      <c r="G247" s="266"/>
      <c r="H247" s="266"/>
      <c r="I247" s="221"/>
      <c r="K247" s="266"/>
      <c r="L247" s="266"/>
    </row>
    <row r="248" spans="1:12" s="262" customFormat="1" hidden="1" x14ac:dyDescent="0.2">
      <c r="B248" s="221" t="s">
        <v>180</v>
      </c>
      <c r="C248" s="226">
        <v>8950</v>
      </c>
      <c r="D248" s="221" t="s">
        <v>178</v>
      </c>
      <c r="E248" s="268"/>
      <c r="F248" s="221"/>
      <c r="G248" s="266"/>
      <c r="H248" s="266"/>
      <c r="I248" s="221"/>
      <c r="K248" s="266"/>
      <c r="L248" s="266"/>
    </row>
    <row r="249" spans="1:12" s="262" customFormat="1" hidden="1" x14ac:dyDescent="0.2">
      <c r="B249" s="221" t="s">
        <v>181</v>
      </c>
      <c r="C249" s="226">
        <v>4851</v>
      </c>
      <c r="D249" s="221" t="s">
        <v>178</v>
      </c>
      <c r="E249" s="268"/>
      <c r="F249" s="221"/>
      <c r="G249" s="266"/>
      <c r="H249" s="266"/>
      <c r="I249" s="221"/>
      <c r="K249" s="266"/>
      <c r="L249" s="266"/>
    </row>
    <row r="250" spans="1:12" s="262" customFormat="1" hidden="1" x14ac:dyDescent="0.2">
      <c r="B250" s="221"/>
      <c r="C250" s="226"/>
      <c r="D250" s="221"/>
      <c r="E250" s="268"/>
      <c r="F250" s="221"/>
      <c r="G250" s="266"/>
      <c r="H250" s="266"/>
      <c r="I250" s="221"/>
      <c r="K250" s="266"/>
      <c r="L250" s="266"/>
    </row>
    <row r="251" spans="1:12" s="262" customFormat="1" hidden="1" x14ac:dyDescent="0.2">
      <c r="B251" s="262" t="s">
        <v>182</v>
      </c>
      <c r="C251" s="226"/>
      <c r="D251" s="221"/>
      <c r="E251" s="268"/>
      <c r="F251" s="221"/>
      <c r="G251" s="266"/>
      <c r="H251" s="266"/>
      <c r="I251" s="221"/>
      <c r="K251" s="266"/>
      <c r="L251" s="266"/>
    </row>
    <row r="252" spans="1:12" s="262" customFormat="1" hidden="1" x14ac:dyDescent="0.2">
      <c r="B252" s="221" t="s">
        <v>177</v>
      </c>
      <c r="C252" s="226">
        <v>13206</v>
      </c>
      <c r="D252" s="221" t="s">
        <v>183</v>
      </c>
      <c r="E252" s="268"/>
      <c r="F252" s="221"/>
      <c r="G252" s="266"/>
      <c r="H252" s="266"/>
      <c r="I252" s="221"/>
      <c r="K252" s="266"/>
      <c r="L252" s="266"/>
    </row>
    <row r="253" spans="1:12" s="262" customFormat="1" hidden="1" x14ac:dyDescent="0.2">
      <c r="B253" s="221" t="s">
        <v>179</v>
      </c>
      <c r="C253" s="226">
        <v>10312</v>
      </c>
      <c r="D253" s="221" t="s">
        <v>183</v>
      </c>
      <c r="E253" s="268"/>
      <c r="F253" s="221"/>
      <c r="G253" s="266"/>
      <c r="H253" s="266"/>
      <c r="I253" s="221"/>
      <c r="K253" s="266"/>
      <c r="L253" s="266"/>
    </row>
    <row r="254" spans="1:12" s="262" customFormat="1" hidden="1" x14ac:dyDescent="0.2">
      <c r="B254" s="221" t="s">
        <v>180</v>
      </c>
      <c r="C254" s="226">
        <v>7982</v>
      </c>
      <c r="D254" s="221" t="s">
        <v>183</v>
      </c>
      <c r="E254" s="268"/>
      <c r="F254" s="221"/>
      <c r="G254" s="266"/>
      <c r="H254" s="266"/>
      <c r="I254" s="221"/>
      <c r="K254" s="266"/>
      <c r="L254" s="266"/>
    </row>
    <row r="255" spans="1:12" s="262" customFormat="1" hidden="1" x14ac:dyDescent="0.2">
      <c r="B255" s="221" t="s">
        <v>181</v>
      </c>
      <c r="C255" s="226">
        <v>3760</v>
      </c>
      <c r="D255" s="221" t="s">
        <v>183</v>
      </c>
      <c r="E255" s="268"/>
      <c r="F255" s="221"/>
      <c r="G255" s="266"/>
      <c r="H255" s="266"/>
      <c r="I255" s="221"/>
      <c r="K255" s="266"/>
      <c r="L255" s="266"/>
    </row>
    <row r="256" spans="1:12" s="262" customFormat="1" hidden="1" x14ac:dyDescent="0.2">
      <c r="B256" s="221"/>
      <c r="C256" s="226"/>
      <c r="D256" s="221"/>
      <c r="E256" s="268"/>
      <c r="F256" s="221"/>
      <c r="G256" s="266"/>
      <c r="H256" s="266"/>
      <c r="I256" s="221"/>
      <c r="K256" s="266"/>
      <c r="L256" s="266"/>
    </row>
    <row r="257" spans="1:12" s="262" customFormat="1" hidden="1" x14ac:dyDescent="0.2">
      <c r="B257" s="262" t="s">
        <v>182</v>
      </c>
      <c r="C257" s="226"/>
      <c r="D257" s="221"/>
      <c r="E257" s="268"/>
      <c r="F257" s="221"/>
      <c r="G257" s="266"/>
      <c r="H257" s="266"/>
      <c r="I257" s="221"/>
      <c r="K257" s="266"/>
      <c r="L257" s="266"/>
    </row>
    <row r="258" spans="1:12" s="262" customFormat="1" hidden="1" x14ac:dyDescent="0.2">
      <c r="B258" s="221" t="s">
        <v>177</v>
      </c>
      <c r="C258" s="129">
        <f>(C246-C252)/C246</f>
        <v>0.20026645673106039</v>
      </c>
      <c r="D258" s="221" t="s">
        <v>183</v>
      </c>
      <c r="E258" s="268"/>
      <c r="F258" s="221"/>
      <c r="G258" s="266"/>
      <c r="H258" s="266"/>
      <c r="I258" s="221"/>
      <c r="K258" s="266"/>
      <c r="L258" s="266"/>
    </row>
    <row r="259" spans="1:12" s="262" customFormat="1" hidden="1" x14ac:dyDescent="0.2">
      <c r="B259" s="221" t="s">
        <v>179</v>
      </c>
      <c r="C259" s="129">
        <f>(C247-C253)/C247</f>
        <v>0.16724541710409432</v>
      </c>
      <c r="D259" s="221" t="s">
        <v>183</v>
      </c>
      <c r="E259" s="268"/>
      <c r="F259" s="221"/>
      <c r="G259" s="266"/>
      <c r="H259" s="266"/>
      <c r="I259" s="221"/>
      <c r="K259" s="266"/>
      <c r="L259" s="266"/>
    </row>
    <row r="260" spans="1:12" s="262" customFormat="1" hidden="1" x14ac:dyDescent="0.2">
      <c r="B260" s="221" t="s">
        <v>180</v>
      </c>
      <c r="C260" s="129">
        <f>(C248-C254)/C248</f>
        <v>0.10815642458100559</v>
      </c>
      <c r="D260" s="221" t="s">
        <v>183</v>
      </c>
      <c r="E260" s="268"/>
      <c r="F260" s="221"/>
      <c r="G260" s="266"/>
      <c r="H260" s="266"/>
      <c r="I260" s="221"/>
      <c r="K260" s="266"/>
      <c r="L260" s="266"/>
    </row>
    <row r="261" spans="1:12" s="262" customFormat="1" hidden="1" x14ac:dyDescent="0.2">
      <c r="B261" s="221" t="s">
        <v>181</v>
      </c>
      <c r="C261" s="129">
        <f>(C249-C255)/C249</f>
        <v>0.22490208204493919</v>
      </c>
      <c r="D261" s="221" t="s">
        <v>183</v>
      </c>
      <c r="E261" s="268"/>
      <c r="F261" s="221"/>
      <c r="G261" s="266"/>
      <c r="H261" s="266"/>
      <c r="I261" s="221"/>
      <c r="K261" s="266"/>
      <c r="L261" s="266"/>
    </row>
    <row r="262" spans="1:12" s="262" customFormat="1" hidden="1" x14ac:dyDescent="0.2">
      <c r="B262" s="221"/>
      <c r="C262" s="226"/>
      <c r="D262" s="221"/>
      <c r="E262" s="268"/>
      <c r="F262" s="221"/>
      <c r="G262" s="266"/>
      <c r="H262" s="266"/>
      <c r="I262" s="221"/>
      <c r="K262" s="266"/>
      <c r="L262" s="266"/>
    </row>
    <row r="263" spans="1:12" hidden="1" x14ac:dyDescent="0.2">
      <c r="A263" s="221"/>
      <c r="E263" s="221"/>
    </row>
    <row r="264" spans="1:12" hidden="1" x14ac:dyDescent="0.2">
      <c r="A264" s="221"/>
      <c r="B264" s="221" t="s">
        <v>79</v>
      </c>
      <c r="E264" s="221"/>
    </row>
    <row r="265" spans="1:12" hidden="1" x14ac:dyDescent="0.2">
      <c r="A265" s="221"/>
      <c r="E265" s="221"/>
    </row>
    <row r="266" spans="1:12" hidden="1" x14ac:dyDescent="0.2">
      <c r="A266" s="221"/>
      <c r="B266" s="221" t="s">
        <v>78</v>
      </c>
      <c r="E266" s="221"/>
    </row>
    <row r="267" spans="1:12" hidden="1" x14ac:dyDescent="0.2">
      <c r="A267" s="221"/>
      <c r="E267" s="221"/>
    </row>
    <row r="268" spans="1:12" hidden="1" x14ac:dyDescent="0.2">
      <c r="A268" s="221"/>
      <c r="B268" s="262" t="s">
        <v>92</v>
      </c>
      <c r="C268" s="221" t="s">
        <v>74</v>
      </c>
      <c r="E268" s="221"/>
    </row>
    <row r="269" spans="1:12" hidden="1" x14ac:dyDescent="0.2">
      <c r="A269" s="221"/>
      <c r="B269" s="221" t="s">
        <v>90</v>
      </c>
      <c r="C269" s="221">
        <v>49</v>
      </c>
      <c r="D269" s="221" t="s">
        <v>93</v>
      </c>
      <c r="E269" s="221"/>
    </row>
    <row r="270" spans="1:12" hidden="1" x14ac:dyDescent="0.2"/>
    <row r="271" spans="1:12" hidden="1" x14ac:dyDescent="0.2"/>
    <row r="272" spans="1:12" hidden="1" x14ac:dyDescent="0.2">
      <c r="A272" s="221"/>
      <c r="B272" s="262" t="s">
        <v>100</v>
      </c>
      <c r="E272" s="221"/>
    </row>
    <row r="273" spans="1:5" hidden="1" x14ac:dyDescent="0.2">
      <c r="A273" s="221"/>
      <c r="B273" s="221" t="s">
        <v>101</v>
      </c>
      <c r="C273" s="277" t="e">
        <f>#REF!</f>
        <v>#REF!</v>
      </c>
      <c r="D273" s="221" t="s">
        <v>104</v>
      </c>
      <c r="E273" s="221"/>
    </row>
    <row r="274" spans="1:5" hidden="1" x14ac:dyDescent="0.2">
      <c r="A274" s="221"/>
      <c r="B274" s="221" t="s">
        <v>102</v>
      </c>
      <c r="C274" s="277" t="e">
        <f>#REF!</f>
        <v>#REF!</v>
      </c>
      <c r="D274" s="221" t="s">
        <v>104</v>
      </c>
      <c r="E274" s="221"/>
    </row>
    <row r="275" spans="1:5" hidden="1" x14ac:dyDescent="0.2">
      <c r="A275" s="221"/>
      <c r="B275" s="221" t="s">
        <v>103</v>
      </c>
      <c r="C275" s="277" t="e">
        <f>#REF!</f>
        <v>#REF!</v>
      </c>
      <c r="D275" s="221" t="s">
        <v>104</v>
      </c>
      <c r="E275" s="221"/>
    </row>
    <row r="276" spans="1:5" hidden="1" x14ac:dyDescent="0.2">
      <c r="A276" s="221"/>
      <c r="B276" s="221" t="s">
        <v>112</v>
      </c>
      <c r="C276" s="277" t="e">
        <f>#REF!</f>
        <v>#REF!</v>
      </c>
      <c r="D276" s="221" t="s">
        <v>104</v>
      </c>
      <c r="E276" s="221"/>
    </row>
    <row r="277" spans="1:5" hidden="1" x14ac:dyDescent="0.2">
      <c r="A277" s="221"/>
      <c r="B277" s="221" t="s">
        <v>105</v>
      </c>
      <c r="C277" s="277" t="e">
        <f>#REF!</f>
        <v>#REF!</v>
      </c>
      <c r="D277" s="221" t="s">
        <v>104</v>
      </c>
      <c r="E277" s="221"/>
    </row>
    <row r="278" spans="1:5" hidden="1" x14ac:dyDescent="0.2">
      <c r="A278" s="221"/>
      <c r="B278" s="221" t="s">
        <v>113</v>
      </c>
      <c r="C278" s="277" t="e">
        <f>#REF!</f>
        <v>#REF!</v>
      </c>
      <c r="D278" s="221" t="s">
        <v>104</v>
      </c>
      <c r="E278" s="221"/>
    </row>
    <row r="279" spans="1:5" hidden="1" x14ac:dyDescent="0.2"/>
    <row r="280" spans="1:5" hidden="1" x14ac:dyDescent="0.2"/>
    <row r="281" spans="1:5" hidden="1" x14ac:dyDescent="0.2">
      <c r="A281" s="221"/>
      <c r="B281" s="262" t="s">
        <v>115</v>
      </c>
      <c r="C281" s="221" t="s">
        <v>74</v>
      </c>
      <c r="E281" s="221"/>
    </row>
    <row r="282" spans="1:5" hidden="1" x14ac:dyDescent="0.2">
      <c r="A282" s="221"/>
      <c r="B282" s="221" t="s">
        <v>116</v>
      </c>
      <c r="C282" s="221">
        <v>49</v>
      </c>
      <c r="D282" s="221" t="s">
        <v>117</v>
      </c>
      <c r="E282" s="221"/>
    </row>
    <row r="283" spans="1:5" hidden="1" x14ac:dyDescent="0.2">
      <c r="A283" s="221"/>
      <c r="B283" s="226" t="s">
        <v>122</v>
      </c>
      <c r="C283" s="297">
        <f>C269*1.18</f>
        <v>57.82</v>
      </c>
      <c r="D283" s="221" t="s">
        <v>123</v>
      </c>
      <c r="E283" s="221"/>
    </row>
  </sheetData>
  <pageMargins left="0.7" right="0.7" top="0.75" bottom="0.75" header="0.3" footer="0.3"/>
  <pageSetup paperSize="9" orientation="portrait" horizontalDpi="4294967295"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A43"/>
  <sheetViews>
    <sheetView zoomScale="80" zoomScaleNormal="80" workbookViewId="0">
      <pane xSplit="5" ySplit="2" topLeftCell="F3" activePane="bottomRight" state="frozen"/>
      <selection pane="topRight" activeCell="F1" sqref="F1"/>
      <selection pane="bottomLeft" activeCell="A3" sqref="A3"/>
      <selection pane="bottomRight" activeCell="D1" sqref="D1:D1048576"/>
    </sheetView>
  </sheetViews>
  <sheetFormatPr defaultRowHeight="12.75" x14ac:dyDescent="0.2"/>
  <cols>
    <col min="1" max="1" width="3.7109375" style="145" customWidth="1"/>
    <col min="2" max="2" width="19.42578125" style="150" customWidth="1"/>
    <col min="3" max="3" width="17.5703125" style="130" customWidth="1"/>
    <col min="4" max="4" width="11.42578125" style="130" bestFit="1" customWidth="1"/>
    <col min="5" max="5" width="11.42578125" style="59" hidden="1" customWidth="1"/>
    <col min="6" max="7" width="10.42578125" style="126" bestFit="1" customWidth="1"/>
    <col min="8" max="8" width="9.42578125" style="126" bestFit="1" customWidth="1"/>
    <col min="9" max="9" width="9.42578125" style="60" bestFit="1" customWidth="1"/>
    <col min="10" max="10" width="10.7109375" style="189" bestFit="1" customWidth="1"/>
    <col min="11" max="11" width="9.42578125" style="147" bestFit="1" customWidth="1"/>
    <col min="12" max="12" width="9.42578125" style="145" bestFit="1" customWidth="1"/>
    <col min="13" max="13" width="9.42578125" style="148" bestFit="1" customWidth="1"/>
    <col min="14" max="14" width="9.42578125" style="145" bestFit="1" customWidth="1"/>
    <col min="15" max="15" width="10.7109375" style="196" bestFit="1" customWidth="1"/>
    <col min="16" max="29" width="9.42578125" style="145" bestFit="1" customWidth="1"/>
    <col min="30" max="30" width="10.7109375" style="133" bestFit="1" customWidth="1"/>
    <col min="31" max="105" width="9.42578125" style="145" bestFit="1" customWidth="1"/>
    <col min="106" max="16384" width="9.140625" style="145"/>
  </cols>
  <sheetData>
    <row r="1" spans="1:105" s="59" customFormat="1" ht="22.5" customHeight="1" x14ac:dyDescent="0.2">
      <c r="A1" s="59" t="s">
        <v>279</v>
      </c>
      <c r="B1" s="150" t="s">
        <v>73</v>
      </c>
      <c r="C1" s="59" t="s">
        <v>280</v>
      </c>
      <c r="D1" s="59" t="s">
        <v>278</v>
      </c>
      <c r="F1" s="298" t="s">
        <v>238</v>
      </c>
      <c r="G1" s="298"/>
      <c r="H1" s="298"/>
      <c r="I1" s="298"/>
      <c r="J1" s="298"/>
      <c r="K1" s="298"/>
      <c r="L1" s="298"/>
      <c r="M1" s="298"/>
      <c r="N1" s="298"/>
      <c r="O1" s="298"/>
      <c r="P1" s="298"/>
    </row>
    <row r="2" spans="1:105" ht="22.5" customHeight="1" x14ac:dyDescent="0.2">
      <c r="E2" s="130" t="s">
        <v>237</v>
      </c>
      <c r="F2" s="127">
        <v>1</v>
      </c>
      <c r="G2" s="127">
        <v>2</v>
      </c>
      <c r="H2" s="127">
        <v>3</v>
      </c>
      <c r="I2" s="127">
        <v>4</v>
      </c>
      <c r="J2" s="127">
        <v>5</v>
      </c>
      <c r="K2" s="127">
        <v>6</v>
      </c>
      <c r="L2" s="127">
        <v>7</v>
      </c>
      <c r="M2" s="127">
        <v>8</v>
      </c>
      <c r="N2" s="127">
        <v>9</v>
      </c>
      <c r="O2" s="127">
        <v>10</v>
      </c>
      <c r="P2" s="127">
        <v>11</v>
      </c>
      <c r="Q2" s="127">
        <v>12</v>
      </c>
      <c r="R2" s="127">
        <v>13</v>
      </c>
      <c r="S2" s="127">
        <v>14</v>
      </c>
      <c r="T2" s="127">
        <v>15</v>
      </c>
      <c r="U2" s="127">
        <v>16</v>
      </c>
      <c r="V2" s="127">
        <v>17</v>
      </c>
      <c r="W2" s="127">
        <v>18</v>
      </c>
      <c r="X2" s="127">
        <v>19</v>
      </c>
      <c r="Y2" s="127">
        <v>20</v>
      </c>
      <c r="Z2" s="127">
        <v>21</v>
      </c>
      <c r="AA2" s="127">
        <v>22</v>
      </c>
      <c r="AB2" s="127">
        <v>23</v>
      </c>
      <c r="AC2" s="127">
        <v>24</v>
      </c>
      <c r="AD2" s="127">
        <v>25</v>
      </c>
      <c r="AE2" s="127">
        <v>26</v>
      </c>
      <c r="AF2" s="127">
        <v>27</v>
      </c>
      <c r="AG2" s="127">
        <v>28</v>
      </c>
      <c r="AH2" s="127">
        <v>29</v>
      </c>
      <c r="AI2" s="127">
        <v>30</v>
      </c>
      <c r="AJ2" s="127">
        <v>31</v>
      </c>
      <c r="AK2" s="127">
        <v>32</v>
      </c>
      <c r="AL2" s="127">
        <v>33</v>
      </c>
      <c r="AM2" s="127">
        <v>34</v>
      </c>
      <c r="AN2" s="127">
        <v>35</v>
      </c>
      <c r="AO2" s="127">
        <v>36</v>
      </c>
      <c r="AP2" s="127">
        <v>37</v>
      </c>
      <c r="AQ2" s="127">
        <v>38</v>
      </c>
      <c r="AR2" s="127">
        <v>39</v>
      </c>
      <c r="AS2" s="127">
        <v>40</v>
      </c>
      <c r="AT2" s="127">
        <v>41</v>
      </c>
      <c r="AU2" s="127">
        <v>42</v>
      </c>
      <c r="AV2" s="127">
        <v>43</v>
      </c>
      <c r="AW2" s="127">
        <v>44</v>
      </c>
      <c r="AX2" s="127">
        <v>45</v>
      </c>
      <c r="AY2" s="127">
        <v>46</v>
      </c>
      <c r="AZ2" s="127">
        <v>47</v>
      </c>
      <c r="BA2" s="127">
        <v>48</v>
      </c>
      <c r="BB2" s="127">
        <v>49</v>
      </c>
      <c r="BC2" s="127">
        <v>50</v>
      </c>
      <c r="BD2" s="127">
        <v>51</v>
      </c>
      <c r="BE2" s="127">
        <v>52</v>
      </c>
      <c r="BF2" s="127">
        <v>53</v>
      </c>
      <c r="BG2" s="127">
        <v>54</v>
      </c>
      <c r="BH2" s="127">
        <v>55</v>
      </c>
      <c r="BI2" s="127">
        <v>56</v>
      </c>
      <c r="BJ2" s="127">
        <v>57</v>
      </c>
      <c r="BK2" s="127">
        <v>58</v>
      </c>
      <c r="BL2" s="127">
        <v>59</v>
      </c>
      <c r="BM2" s="127">
        <v>60</v>
      </c>
      <c r="BN2" s="127">
        <v>61</v>
      </c>
      <c r="BO2" s="127">
        <v>62</v>
      </c>
      <c r="BP2" s="127">
        <v>63</v>
      </c>
      <c r="BQ2" s="127">
        <v>64</v>
      </c>
      <c r="BR2" s="127">
        <v>65</v>
      </c>
      <c r="BS2" s="127">
        <v>66</v>
      </c>
      <c r="BT2" s="127">
        <v>67</v>
      </c>
      <c r="BU2" s="127">
        <v>68</v>
      </c>
      <c r="BV2" s="127">
        <v>69</v>
      </c>
      <c r="BW2" s="127">
        <v>70</v>
      </c>
      <c r="BX2" s="127">
        <v>71</v>
      </c>
      <c r="BY2" s="127">
        <v>72</v>
      </c>
      <c r="BZ2" s="127">
        <v>73</v>
      </c>
      <c r="CA2" s="127">
        <v>74</v>
      </c>
      <c r="CB2" s="127">
        <v>75</v>
      </c>
      <c r="CC2" s="127">
        <v>76</v>
      </c>
      <c r="CD2" s="127">
        <v>77</v>
      </c>
      <c r="CE2" s="127">
        <v>78</v>
      </c>
      <c r="CF2" s="127">
        <v>79</v>
      </c>
      <c r="CG2" s="127">
        <v>80</v>
      </c>
      <c r="CH2" s="127">
        <v>81</v>
      </c>
      <c r="CI2" s="127">
        <v>82</v>
      </c>
      <c r="CJ2" s="127">
        <v>83</v>
      </c>
      <c r="CK2" s="127">
        <v>84</v>
      </c>
      <c r="CL2" s="127">
        <v>85</v>
      </c>
      <c r="CM2" s="127">
        <v>86</v>
      </c>
      <c r="CN2" s="127">
        <v>87</v>
      </c>
      <c r="CO2" s="127">
        <v>88</v>
      </c>
      <c r="CP2" s="127">
        <v>89</v>
      </c>
      <c r="CQ2" s="127">
        <v>90</v>
      </c>
      <c r="CR2" s="127">
        <v>91</v>
      </c>
      <c r="CS2" s="127">
        <v>92</v>
      </c>
      <c r="CT2" s="127">
        <v>93</v>
      </c>
      <c r="CU2" s="127">
        <v>94</v>
      </c>
      <c r="CV2" s="127">
        <v>95</v>
      </c>
      <c r="CW2" s="127">
        <v>96</v>
      </c>
      <c r="CX2" s="127">
        <v>97</v>
      </c>
      <c r="CY2" s="127">
        <v>98</v>
      </c>
      <c r="CZ2" s="127">
        <v>99</v>
      </c>
      <c r="DA2" s="127">
        <v>100</v>
      </c>
    </row>
    <row r="3" spans="1:105" s="141" customFormat="1" ht="25.5" x14ac:dyDescent="0.2">
      <c r="A3" s="307" t="s">
        <v>250</v>
      </c>
      <c r="B3" s="306" t="s">
        <v>283</v>
      </c>
      <c r="C3" s="301" t="str">
        <f>Assessment!C$219</f>
        <v>--Loft top-up loft insulation (150 to 270mm), 50% client funded---</v>
      </c>
      <c r="D3" s="135" t="s">
        <v>162</v>
      </c>
      <c r="E3" s="140">
        <v>-0.39544534919222768</v>
      </c>
      <c r="F3" s="140">
        <f>(Assessment!$D$78-(Assessment!$D$58-F30))/Assessment!$D$78</f>
        <v>-0.16512857023081934</v>
      </c>
      <c r="G3" s="140">
        <f>(Assessment!$D$78-(Assessment!$D$58-G30))/Assessment!$D$78</f>
        <v>-8.4615583762265204E-2</v>
      </c>
      <c r="H3" s="140">
        <f>(Assessment!$D$78-(Assessment!$D$58-H30))/Assessment!$D$78</f>
        <v>-5.8072840970434123E-2</v>
      </c>
      <c r="I3" s="140">
        <f>(Assessment!$D$78-(Assessment!$D$58-I30))/Assessment!$D$78</f>
        <v>-4.5019033040025282E-2</v>
      </c>
      <c r="J3" s="182">
        <f>(Assessment!$D$78-(Assessment!$D$58-J30))/Assessment!$D$78</f>
        <v>-3.7356832298245934E-2</v>
      </c>
      <c r="K3" s="140">
        <f>(Assessment!$D$78-(Assessment!$D$58-K30))/Assessment!$D$78</f>
        <v>-3.2386315688016941E-2</v>
      </c>
      <c r="L3" s="140">
        <f>(Assessment!$D$78-(Assessment!$D$58-L30))/Assessment!$D$78</f>
        <v>-2.8949752851376315E-2</v>
      </c>
      <c r="M3" s="140">
        <f>(Assessment!$D$78-(Assessment!$D$58-M30))/Assessment!$D$78</f>
        <v>-2.646781198327585E-2</v>
      </c>
      <c r="N3" s="140">
        <f>(Assessment!$D$78-(Assessment!$D$58-N30))/Assessment!$D$78</f>
        <v>-2.4618300291401107E-2</v>
      </c>
      <c r="O3" s="182">
        <f>(Assessment!$D$78-(Assessment!$D$58-O30))/Assessment!$D$78</f>
        <v>-2.3207662411811915E-2</v>
      </c>
      <c r="P3" s="140">
        <f>(Assessment!$D$78-(Assessment!$D$58-P30))/Assessment!$D$78</f>
        <v>-2.2112570527575787E-2</v>
      </c>
      <c r="Q3" s="140">
        <f>(Assessment!$D$78-(Assessment!$D$58-Q30))/Assessment!$D$78</f>
        <v>-2.1250717630418862E-2</v>
      </c>
      <c r="R3" s="140">
        <f>(Assessment!$D$78-(Assessment!$D$58-R30))/Assessment!$D$78</f>
        <v>-2.0565087796855543E-2</v>
      </c>
      <c r="S3" s="140">
        <f>(Assessment!$D$78-(Assessment!$D$58-S30))/Assessment!$D$78</f>
        <v>-2.0014963970392999E-2</v>
      </c>
      <c r="T3" s="140">
        <f>(Assessment!$D$78-(Assessment!$D$58-T30))/Assessment!$D$78</f>
        <v>-1.9570528403962444E-2</v>
      </c>
      <c r="U3" s="140">
        <f>(Assessment!$D$78-(Assessment!$D$58-U30))/Assessment!$D$78</f>
        <v>-1.9209483578048074E-2</v>
      </c>
      <c r="V3" s="140">
        <f>(Assessment!$D$78-(Assessment!$D$58-V30))/Assessment!$D$78</f>
        <v>-1.8914861469452867E-2</v>
      </c>
      <c r="W3" s="140">
        <f>(Assessment!$D$78-(Assessment!$D$58-W30))/Assessment!$D$78</f>
        <v>-1.8673559050828747E-2</v>
      </c>
      <c r="X3" s="140">
        <f>(Assessment!$D$78-(Assessment!$D$58-X30))/Assessment!$D$78</f>
        <v>-1.8475332612201294E-2</v>
      </c>
      <c r="Y3" s="140">
        <f>(Assessment!$D$78-(Assessment!$D$58-Y30))/Assessment!$D$78</f>
        <v>-1.83120905576835E-2</v>
      </c>
      <c r="Z3" s="140">
        <f>(Assessment!$D$78-(Assessment!$D$58-Z30))/Assessment!$D$78</f>
        <v>-1.817738548137781E-2</v>
      </c>
      <c r="AA3" s="140">
        <f>(Assessment!$D$78-(Assessment!$D$58-AA30))/Assessment!$D$78</f>
        <v>-1.8066042436788762E-2</v>
      </c>
      <c r="AB3" s="140">
        <f>(Assessment!$D$78-(Assessment!$D$58-AB30))/Assessment!$D$78</f>
        <v>-1.7973882273990851E-2</v>
      </c>
      <c r="AC3" s="140">
        <f>(Assessment!$D$78-(Assessment!$D$58-AC30))/Assessment!$D$78</f>
        <v>-1.7897512627713729E-2</v>
      </c>
      <c r="AD3" s="182">
        <f>(Assessment!$D$78-(Assessment!$D$58-AD30))/Assessment!$D$78</f>
        <v>-1.7834167901218171E-2</v>
      </c>
      <c r="AE3" s="140">
        <f>(Assessment!$D$78-(Assessment!$D$58-AE30))/Assessment!$D$78</f>
        <v>-1.7781585311275924E-2</v>
      </c>
      <c r="AF3" s="140">
        <f>(Assessment!$D$78-(Assessment!$D$58-AF30))/Assessment!$D$78</f>
        <v>-1.7737907867896117E-2</v>
      </c>
      <c r="AG3" s="140">
        <f>(Assessment!$D$78-(Assessment!$D$58-AG30))/Assessment!$D$78</f>
        <v>-1.7701607743815857E-2</v>
      </c>
      <c r="AH3" s="140">
        <f>(Assessment!$D$78-(Assessment!$D$58-AH30))/Assessment!$D$78</f>
        <v>-1.7671425268088917E-2</v>
      </c>
      <c r="AI3" s="140">
        <f>(Assessment!$D$78-(Assessment!$D$58-AI30))/Assessment!$D$78</f>
        <v>-1.7646320024005062E-2</v>
      </c>
      <c r="AJ3" s="140">
        <f>(Assessment!$D$78-(Assessment!$D$58-AJ30))/Assessment!$D$78</f>
        <v>-1.7625431417090519E-2</v>
      </c>
      <c r="AK3" s="140">
        <f>(Assessment!$D$78-(Assessment!$D$58-AK30))/Assessment!$D$78</f>
        <v>-1.7608046717267137E-2</v>
      </c>
      <c r="AL3" s="140">
        <f>(Assessment!$D$78-(Assessment!$D$58-AL30))/Assessment!$D$78</f>
        <v>-1.759357504562507E-2</v>
      </c>
      <c r="AM3" s="140">
        <f>(Assessment!$D$78-(Assessment!$D$58-AM30))/Assessment!$D$78</f>
        <v>-1.7581526121425918E-2</v>
      </c>
      <c r="AN3" s="140">
        <f>(Assessment!$D$78-(Assessment!$D$58-AN30))/Assessment!$D$78</f>
        <v>-1.7571492843504892E-2</v>
      </c>
      <c r="AO3" s="140">
        <f>(Assessment!$D$78-(Assessment!$D$58-AO30))/Assessment!$D$78</f>
        <v>-1.7563136976167244E-2</v>
      </c>
      <c r="AP3" s="140">
        <f>(Assessment!$D$78-(Assessment!$D$58-AP30))/Assessment!$D$78</f>
        <v>-1.7556177359735022E-2</v>
      </c>
      <c r="AQ3" s="140">
        <f>(Assessment!$D$78-(Assessment!$D$58-AQ30))/Assessment!$D$78</f>
        <v>-1.7550380181995669E-2</v>
      </c>
      <c r="AR3" s="140">
        <f>(Assessment!$D$78-(Assessment!$D$58-AR30))/Assessment!$D$78</f>
        <v>-1.754555093744388E-2</v>
      </c>
      <c r="AS3" s="140">
        <f>(Assessment!$D$78-(Assessment!$D$58-AS30))/Assessment!$D$78</f>
        <v>-1.7541527772564812E-2</v>
      </c>
      <c r="AT3" s="140">
        <f>(Assessment!$D$78-(Assessment!$D$58-AT30))/Assessment!$D$78</f>
        <v>-1.7538175972028974E-2</v>
      </c>
      <c r="AU3" s="140">
        <f>(Assessment!$D$78-(Assessment!$D$58-AU30))/Assessment!$D$78</f>
        <v>-1.7535383385870768E-2</v>
      </c>
      <c r="AV3" s="140">
        <f>(Assessment!$D$78-(Assessment!$D$58-AV30))/Assessment!$D$78</f>
        <v>-1.7533056634064112E-2</v>
      </c>
      <c r="AW3" s="140">
        <f>(Assessment!$D$78-(Assessment!$D$58-AW30))/Assessment!$D$78</f>
        <v>-1.7531117954245438E-2</v>
      </c>
      <c r="AX3" s="140">
        <f>(Assessment!$D$78-(Assessment!$D$58-AX30))/Assessment!$D$78</f>
        <v>-1.7529502582149518E-2</v>
      </c>
      <c r="AY3" s="140">
        <f>(Assessment!$D$78-(Assessment!$D$58-AY30))/Assessment!$D$78</f>
        <v>-1.7528156573727319E-2</v>
      </c>
      <c r="AZ3" s="140">
        <f>(Assessment!$D$78-(Assessment!$D$58-AZ30))/Assessment!$D$78</f>
        <v>-1.7527034993773446E-2</v>
      </c>
      <c r="BA3" s="140">
        <f>(Assessment!$D$78-(Assessment!$D$58-BA30))/Assessment!$D$78</f>
        <v>-1.7526100408895028E-2</v>
      </c>
      <c r="BB3" s="140">
        <f>(Assessment!$D$78-(Assessment!$D$58-BB30))/Assessment!$D$78</f>
        <v>-1.7525321633355836E-2</v>
      </c>
      <c r="BC3" s="140">
        <f>(Assessment!$D$78-(Assessment!$D$58-BC30))/Assessment!$D$78</f>
        <v>-1.7524672685120875E-2</v>
      </c>
      <c r="BD3" s="140">
        <f>(Assessment!$D$78-(Assessment!$D$58-BD30))/Assessment!$D$78</f>
        <v>-1.7524131916715899E-2</v>
      </c>
      <c r="BE3" s="140">
        <f>(Assessment!$D$78-(Assessment!$D$58-BE30))/Assessment!$D$78</f>
        <v>-1.7523681291510426E-2</v>
      </c>
      <c r="BF3" s="140">
        <f>(Assessment!$D$78-(Assessment!$D$58-BF30))/Assessment!$D$78</f>
        <v>-1.7523305781013555E-2</v>
      </c>
      <c r="BG3" s="140">
        <f>(Assessment!$D$78-(Assessment!$D$58-BG30))/Assessment!$D$78</f>
        <v>-1.7522992862896384E-2</v>
      </c>
      <c r="BH3" s="140">
        <f>(Assessment!$D$78-(Assessment!$D$58-BH30))/Assessment!$D$78</f>
        <v>-1.7522732102865667E-2</v>
      </c>
      <c r="BI3" s="140">
        <f>(Assessment!$D$78-(Assessment!$D$58-BI30))/Assessment!$D$78</f>
        <v>-1.752251480635875E-2</v>
      </c>
      <c r="BJ3" s="140">
        <f>(Assessment!$D$78-(Assessment!$D$58-BJ30))/Assessment!$D$78</f>
        <v>-1.7522333728379681E-2</v>
      </c>
      <c r="BK3" s="140">
        <f>(Assessment!$D$78-(Assessment!$D$58-BK30))/Assessment!$D$78</f>
        <v>-1.7522182831760713E-2</v>
      </c>
      <c r="BL3" s="140">
        <f>(Assessment!$D$78-(Assessment!$D$58-BL30))/Assessment!$D$78</f>
        <v>-1.7522057085756472E-2</v>
      </c>
      <c r="BM3" s="140">
        <f>(Assessment!$D$78-(Assessment!$D$58-BM30))/Assessment!$D$78</f>
        <v>-1.7521952298237869E-2</v>
      </c>
      <c r="BN3" s="140">
        <f>(Assessment!$D$78-(Assessment!$D$58-BN30))/Assessment!$D$78</f>
        <v>-1.7521864975874109E-2</v>
      </c>
      <c r="BO3" s="140">
        <f>(Assessment!$D$78-(Assessment!$D$58-BO30))/Assessment!$D$78</f>
        <v>-1.7521792207632218E-2</v>
      </c>
      <c r="BP3" s="140">
        <f>(Assessment!$D$78-(Assessment!$D$58-BP30))/Assessment!$D$78</f>
        <v>-1.752173156770458E-2</v>
      </c>
      <c r="BQ3" s="140">
        <f>(Assessment!$D$78-(Assessment!$D$58-BQ30))/Assessment!$D$78</f>
        <v>-1.75216810346219E-2</v>
      </c>
      <c r="BR3" s="140">
        <f>(Assessment!$D$78-(Assessment!$D$58-BR30))/Assessment!$D$78</f>
        <v>-1.7521638923851661E-2</v>
      </c>
      <c r="BS3" s="140">
        <f>(Assessment!$D$78-(Assessment!$D$58-BS30))/Assessment!$D$78</f>
        <v>-1.7521603831635021E-2</v>
      </c>
      <c r="BT3" s="140">
        <f>(Assessment!$D$78-(Assessment!$D$58-BT30))/Assessment!$D$78</f>
        <v>-1.7521574588184975E-2</v>
      </c>
      <c r="BU3" s="140">
        <f>(Assessment!$D$78-(Assessment!$D$58-BU30))/Assessment!$D$78</f>
        <v>-1.7521550218687357E-2</v>
      </c>
      <c r="BV3" s="140">
        <f>(Assessment!$D$78-(Assessment!$D$58-BV30))/Assessment!$D$78</f>
        <v>-1.7521529910803597E-2</v>
      </c>
      <c r="BW3" s="140">
        <f>(Assessment!$D$78-(Assessment!$D$58-BW30))/Assessment!$D$78</f>
        <v>-1.7521512987588372E-2</v>
      </c>
      <c r="BX3" s="140">
        <f>(Assessment!$D$78-(Assessment!$D$58-BX30))/Assessment!$D$78</f>
        <v>-1.7521498884923856E-2</v>
      </c>
      <c r="BY3" s="140">
        <f>(Assessment!$D$78-(Assessment!$D$58-BY30))/Assessment!$D$78</f>
        <v>-1.752148713271361E-2</v>
      </c>
      <c r="BZ3" s="140">
        <f>(Assessment!$D$78-(Assessment!$D$58-BZ30))/Assessment!$D$78</f>
        <v>-1.7521477339212343E-2</v>
      </c>
      <c r="CA3" s="140">
        <f>(Assessment!$D$78-(Assessment!$D$58-CA30))/Assessment!$D$78</f>
        <v>-1.7521469177966143E-2</v>
      </c>
      <c r="CB3" s="140">
        <f>(Assessment!$D$78-(Assessment!$D$58-CB30))/Assessment!$D$78</f>
        <v>-1.7521462376931231E-2</v>
      </c>
      <c r="CC3" s="140">
        <f>(Assessment!$D$78-(Assessment!$D$58-CC30))/Assessment!$D$78</f>
        <v>-1.7521456709404547E-2</v>
      </c>
      <c r="CD3" s="140">
        <f>(Assessment!$D$78-(Assessment!$D$58-CD30))/Assessment!$D$78</f>
        <v>-1.7521451986467151E-2</v>
      </c>
      <c r="CE3" s="140">
        <f>(Assessment!$D$78-(Assessment!$D$58-CE30))/Assessment!$D$78</f>
        <v>-1.7521448050687293E-2</v>
      </c>
      <c r="CF3" s="140">
        <f>(Assessment!$D$78-(Assessment!$D$58-CF30))/Assessment!$D$78</f>
        <v>-1.752144477087135E-2</v>
      </c>
      <c r="CG3" s="140">
        <f>(Assessment!$D$78-(Assessment!$D$58-CG30))/Assessment!$D$78</f>
        <v>-1.7521442037692136E-2</v>
      </c>
      <c r="CH3" s="140">
        <f>(Assessment!$D$78-(Assessment!$D$58-CH30))/Assessment!$D$78</f>
        <v>-1.7521439760043056E-2</v>
      </c>
      <c r="CI3" s="140">
        <f>(Assessment!$D$78-(Assessment!$D$58-CI30))/Assessment!$D$78</f>
        <v>-1.7521437862002526E-2</v>
      </c>
      <c r="CJ3" s="140">
        <f>(Assessment!$D$78-(Assessment!$D$58-CJ30))/Assessment!$D$78</f>
        <v>-1.7521436280302286E-2</v>
      </c>
      <c r="CK3" s="140">
        <f>(Assessment!$D$78-(Assessment!$D$58-CK30))/Assessment!$D$78</f>
        <v>-1.7521434962218852E-2</v>
      </c>
      <c r="CL3" s="140">
        <f>(Assessment!$D$78-(Assessment!$D$58-CL30))/Assessment!$D$78</f>
        <v>-1.7521433863815921E-2</v>
      </c>
      <c r="CM3" s="140">
        <f>(Assessment!$D$78-(Assessment!$D$58-CM30))/Assessment!$D$78</f>
        <v>-1.752143294848045E-2</v>
      </c>
      <c r="CN3" s="140">
        <f>(Assessment!$D$78-(Assessment!$D$58-CN30))/Assessment!$D$78</f>
        <v>-1.7521432185700722E-2</v>
      </c>
      <c r="CO3" s="140">
        <f>(Assessment!$D$78-(Assessment!$D$58-CO30))/Assessment!$D$78</f>
        <v>-1.7521431550051085E-2</v>
      </c>
      <c r="CP3" s="140">
        <f>(Assessment!$D$78-(Assessment!$D$58-CP30))/Assessment!$D$78</f>
        <v>-1.7521431020343085E-2</v>
      </c>
      <c r="CQ3" s="140">
        <f>(Assessment!$D$78-(Assessment!$D$58-CQ30))/Assessment!$D$78</f>
        <v>-1.7521430578919753E-2</v>
      </c>
      <c r="CR3" s="140">
        <f>(Assessment!$D$78-(Assessment!$D$58-CR30))/Assessment!$D$78</f>
        <v>-1.7521430211067043E-2</v>
      </c>
      <c r="CS3" s="140">
        <f>(Assessment!$D$78-(Assessment!$D$58-CS30))/Assessment!$D$78</f>
        <v>-1.7521429904522982E-2</v>
      </c>
      <c r="CT3" s="140">
        <f>(Assessment!$D$78-(Assessment!$D$58-CT30))/Assessment!$D$78</f>
        <v>-1.7521429649069633E-2</v>
      </c>
      <c r="CU3" s="140">
        <f>(Assessment!$D$78-(Assessment!$D$58-CU30))/Assessment!$D$78</f>
        <v>-1.7521429436191976E-2</v>
      </c>
      <c r="CV3" s="140">
        <f>(Assessment!$D$78-(Assessment!$D$58-CV30))/Assessment!$D$78</f>
        <v>-1.7521429258793898E-2</v>
      </c>
      <c r="CW3" s="140">
        <f>(Assessment!$D$78-(Assessment!$D$58-CW30))/Assessment!$D$78</f>
        <v>-1.7521429110961995E-2</v>
      </c>
      <c r="CX3" s="140">
        <f>(Assessment!$D$78-(Assessment!$D$58-CX30))/Assessment!$D$78</f>
        <v>-1.7521428987769011E-2</v>
      </c>
      <c r="CY3" s="140">
        <f>(Assessment!$D$78-(Assessment!$D$58-CY30))/Assessment!$D$78</f>
        <v>-1.7521428885107992E-2</v>
      </c>
      <c r="CZ3" s="140">
        <f>(Assessment!$D$78-(Assessment!$D$58-CZ30))/Assessment!$D$78</f>
        <v>-1.7521428799557207E-2</v>
      </c>
      <c r="DA3" s="140">
        <f>(Assessment!$D$78-(Assessment!$D$58-DA30))/Assessment!$D$78</f>
        <v>-1.7521428728264989E-2</v>
      </c>
    </row>
    <row r="4" spans="1:105" s="141" customFormat="1" ht="25.5" x14ac:dyDescent="0.2">
      <c r="A4" s="308"/>
      <c r="B4" s="306"/>
      <c r="C4" s="301"/>
      <c r="D4" s="135" t="s">
        <v>163</v>
      </c>
      <c r="E4" s="140">
        <v>-0.39544534919222768</v>
      </c>
      <c r="F4" s="140">
        <f>((IF((Assessment!$D$62/2)&gt;(Results_!F31*-1),Assessment!$D$62/2,Assessment!$D$62+Results_!F31)))/Assessment!$D$55</f>
        <v>-0.14218749895196675</v>
      </c>
      <c r="G4" s="140">
        <f>((IF((Assessment!$D$62/2)&gt;(Results_!G31*-1),Assessment!$D$62/2,Assessment!$D$62+Results_!G31)))/Assessment!$D$55</f>
        <v>-6.6583840926617094E-2</v>
      </c>
      <c r="H4" s="140">
        <f>((IF((Assessment!$D$62/2)&gt;(Results_!H31*-1),Assessment!$D$62/2,Assessment!$D$62+Results_!H31)))/Assessment!$D$55</f>
        <v>-4.1402606691369782E-2</v>
      </c>
      <c r="I4" s="140">
        <f>((IF((Assessment!$D$62/2)&gt;(Results_!I31*-1),Assessment!$D$62/2,Assessment!$D$62+Results_!I31)))/Assessment!$D$55</f>
        <v>-2.8826960581020349E-2</v>
      </c>
      <c r="J4" s="182">
        <f>((IF((Assessment!$D$62/2)&gt;(Results_!J31*-1),Assessment!$D$62/2,Assessment!$D$62+Results_!J31)))/Assessment!$D$55</f>
        <v>-2.1293529793176801E-2</v>
      </c>
      <c r="K4" s="140">
        <f>((IF((Assessment!$D$62/2)&gt;(Results_!K31*-1),Assessment!$D$62/2,Assessment!$D$62+Results_!K31)))/Assessment!$D$55</f>
        <v>-1.6281185364044666E-2</v>
      </c>
      <c r="L4" s="140">
        <f>((IF((Assessment!$D$62/2)&gt;(Results_!L31*-1),Assessment!$D$62/2,Assessment!$D$62+Results_!L31)))/Assessment!$D$55</f>
        <v>-1.2709439457433254E-2</v>
      </c>
      <c r="M4" s="140">
        <f>((IF((Assessment!$D$62/2)&gt;(Results_!M31*-1),Assessment!$D$62/2,Assessment!$D$62+Results_!M31)))/Assessment!$D$55</f>
        <v>-1.0038044692825309E-2</v>
      </c>
      <c r="N4" s="140">
        <f>((IF((Assessment!$D$62/2)&gt;(Results_!N31*-1),Assessment!$D$62/2,Assessment!$D$62+Results_!N31)))/Assessment!$D$55</f>
        <v>-7.9668605931423591E-3</v>
      </c>
      <c r="O4" s="140">
        <f>((IF((Assessment!$D$62/2)&gt;(Results_!O31*-1),Assessment!$D$62/2,Assessment!$D$62+Results_!O31)))/Assessment!$D$55</f>
        <v>-6.3158001683176765E-3</v>
      </c>
      <c r="P4" s="140">
        <f>((IF((Assessment!$D$62/2)&gt;(Results_!P31*-1),Assessment!$D$62/2,Assessment!$D$62+Results_!P31)))/Assessment!$D$55</f>
        <v>-4.9702601845126645E-3</v>
      </c>
      <c r="Q4" s="140">
        <f>((IF((Assessment!$D$62/2)&gt;(Results_!Q31*-1),Assessment!$D$62/2,Assessment!$D$62+Results_!Q31)))/Assessment!$D$55</f>
        <v>-3.8538363022440855E-3</v>
      </c>
      <c r="R4" s="140">
        <f>((IF((Assessment!$D$62/2)&gt;(Results_!R31*-1),Assessment!$D$62/2,Assessment!$D$62+Results_!R31)))/Assessment!$D$55</f>
        <v>-2.9136312308228095E-3</v>
      </c>
      <c r="S4" s="140">
        <f>((IF((Assessment!$D$62/2)&gt;(Results_!S31*-1),Assessment!$D$62/2,Assessment!$D$62+Results_!S31)))/Assessment!$D$55</f>
        <v>-2.1118593908386512E-3</v>
      </c>
      <c r="T4" s="140">
        <f>((IF((Assessment!$D$62/2)&gt;(Results_!T31*-1),Assessment!$D$62/2,Assessment!$D$62+Results_!T31)))/Assessment!$D$55</f>
        <v>-1.4208097141597941E-3</v>
      </c>
      <c r="U4" s="140">
        <f>((IF((Assessment!$D$62/2)&gt;(Results_!U31*-1),Assessment!$D$62/2,Assessment!$D$62+Results_!U31)))/Assessment!$D$55</f>
        <v>-8.1969739617464678E-4</v>
      </c>
      <c r="V4" s="140">
        <f>((IF((Assessment!$D$62/2)&gt;(Results_!V31*-1),Assessment!$D$62/2,Assessment!$D$62+Results_!V31)))/Assessment!$D$55</f>
        <v>-2.9262679630285367E-4</v>
      </c>
      <c r="W4" s="140">
        <f>((IF((Assessment!$D$62/2)&gt;(Results_!W31*-1),Assessment!$D$62/2,Assessment!$D$62+Results_!W31)))/Assessment!$D$55</f>
        <v>1.7276662654786351E-4</v>
      </c>
      <c r="X4" s="140">
        <f>((IF((Assessment!$D$62/2)&gt;(Results_!X31*-1),Assessment!$D$62/2,Assessment!$D$62+Results_!X31)))/Assessment!$D$55</f>
        <v>5.862455144544145E-4</v>
      </c>
      <c r="Y4" s="140">
        <f>((IF((Assessment!$D$62/2)&gt;(Results_!Y31*-1),Assessment!$D$62/2,Assessment!$D$62+Results_!Y31)))/Assessment!$D$55</f>
        <v>9.5562104940922642E-4</v>
      </c>
      <c r="Z4" s="140">
        <f>((IF((Assessment!$D$62/2)&gt;(Results_!Z31*-1),Assessment!$D$62/2,Assessment!$D$62+Results_!Z31)))/Assessment!$D$55</f>
        <v>1.2872175513249596E-3</v>
      </c>
      <c r="AA4" s="140">
        <f>((IF((Assessment!$D$62/2)&gt;(Results_!AA31*-1),Assessment!$D$62/2,Assessment!$D$62+Results_!AA31)))/Assessment!$D$55</f>
        <v>1.5862103664160809E-3</v>
      </c>
      <c r="AB4" s="140">
        <f>((IF((Assessment!$D$62/2)&gt;(Results_!AB31*-1),Assessment!$D$62/2,Assessment!$D$62+Results_!AB31)))/Assessment!$D$55</f>
        <v>1.8568756098521987E-3</v>
      </c>
      <c r="AC4" s="140">
        <f>((IF((Assessment!$D$62/2)&gt;(Results_!AC31*-1),Assessment!$D$62/2,Assessment!$D$62+Results_!AC31)))/Assessment!$D$55</f>
        <v>2.1027774719475202E-3</v>
      </c>
      <c r="AD4" s="182">
        <f>((IF((Assessment!$D$62/2)&gt;(Results_!AD31*-1),Assessment!$D$62/2,Assessment!$D$62+Results_!AD31)))/Assessment!$D$55</f>
        <v>2.3269105701868983E-3</v>
      </c>
      <c r="AE4" s="140">
        <f>((IF((Assessment!$D$62/2)&gt;(Results_!AE31*-1),Assessment!$D$62/2,Assessment!$D$62+Results_!AE31)))/Assessment!$D$55</f>
        <v>2.5318094502198734E-3</v>
      </c>
      <c r="AF4" s="140">
        <f>((IF((Assessment!$D$62/2)&gt;(Results_!AF31*-1),Assessment!$D$62/2,Assessment!$D$62+Results_!AF31)))/Assessment!$D$55</f>
        <v>2.7196337528409597E-3</v>
      </c>
      <c r="AG4" s="140">
        <f>((IF((Assessment!$D$62/2)&gt;(Results_!AG31*-1),Assessment!$D$62/2,Assessment!$D$62+Results_!AG31)))/Assessment!$D$55</f>
        <v>2.892235130540302E-3</v>
      </c>
      <c r="AH4" s="140">
        <f>((IF((Assessment!$D$62/2)&gt;(Results_!AH31*-1),Assessment!$D$62/2,Assessment!$D$62+Results_!AH31)))/Assessment!$D$55</f>
        <v>3.05121031897793E-3</v>
      </c>
      <c r="AI4" s="140">
        <f>((IF((Assessment!$D$62/2)&gt;(Results_!AI31*-1),Assessment!$D$62/2,Assessment!$D$62+Results_!AI31)))/Assessment!$D$55</f>
        <v>3.1979435939731059E-3</v>
      </c>
      <c r="AJ4" s="140">
        <f>((IF((Assessment!$D$62/2)&gt;(Results_!AJ31*-1),Assessment!$D$62/2,Assessment!$D$62+Results_!AJ31)))/Assessment!$D$55</f>
        <v>3.3336410108979276E-3</v>
      </c>
      <c r="AK4" s="140">
        <f>((IF((Assessment!$D$62/2)&gt;(Results_!AK31*-1),Assessment!$D$62/2,Assessment!$D$62+Results_!AK31)))/Assessment!$D$55</f>
        <v>3.459358224140729E-3</v>
      </c>
      <c r="AL4" s="140">
        <f>((IF((Assessment!$D$62/2)&gt;(Results_!AL31*-1),Assessment!$D$62/2,Assessment!$D$62+Results_!AL31)))/Assessment!$D$55</f>
        <v>3.5760232485054547E-3</v>
      </c>
      <c r="AM4" s="140">
        <f>((IF((Assessment!$D$62/2)&gt;(Results_!AM31*-1),Assessment!$D$62/2,Assessment!$D$62+Results_!AM31)))/Assessment!$D$55</f>
        <v>3.6844552039724037E-3</v>
      </c>
      <c r="AN4" s="140">
        <f>((IF((Assessment!$D$62/2)&gt;(Results_!AN31*-1),Assessment!$D$62/2,Assessment!$D$62+Results_!AN31)))/Assessment!$D$55</f>
        <v>3.7853798472037201E-3</v>
      </c>
      <c r="AO4" s="140">
        <f>((IF((Assessment!$D$62/2)&gt;(Results_!AO31*-1),Assessment!$D$62/2,Assessment!$D$62+Results_!AO31)))/Assessment!$D$55</f>
        <v>3.8794425146454442E-3</v>
      </c>
      <c r="AP4" s="140">
        <f>((IF((Assessment!$D$62/2)&gt;(Results_!AP31*-1),Assessment!$D$62/2,Assessment!$D$62+Results_!AP31)))/Assessment!$D$55</f>
        <v>3.9672189669727508E-3</v>
      </c>
      <c r="AQ4" s="140">
        <f>((IF((Assessment!$D$62/2)&gt;(Results_!AQ31*-1),Assessment!$D$62/2,Assessment!$D$62+Results_!AQ31)))/Assessment!$D$55</f>
        <v>4.0492245215182831E-3</v>
      </c>
      <c r="AR4" s="140">
        <f>((IF((Assessment!$D$62/2)&gt;(Results_!AR31*-1),Assessment!$D$62/2,Assessment!$D$62+Results_!AR31)))/Assessment!$D$55</f>
        <v>4.1259217800106692E-3</v>
      </c>
      <c r="AS4" s="140">
        <f>((IF((Assessment!$D$62/2)&gt;(Results_!AS31*-1),Assessment!$D$62/2,Assessment!$D$62+Results_!AS31)))/Assessment!$D$55</f>
        <v>4.1977271974825347E-3</v>
      </c>
      <c r="AT4" s="140">
        <f>((IF((Assessment!$D$62/2)&gt;(Results_!AT31*-1),Assessment!$D$62/2,Assessment!$D$62+Results_!AT31)))/Assessment!$D$55</f>
        <v>4.2650166902326991E-3</v>
      </c>
      <c r="AU4" s="140">
        <f>((IF((Assessment!$D$62/2)&gt;(Results_!AU31*-1),Assessment!$D$62/2,Assessment!$D$62+Results_!AU31)))/Assessment!$D$55</f>
        <v>4.3281304430325728E-3</v>
      </c>
      <c r="AV4" s="140">
        <f>((IF((Assessment!$D$62/2)&gt;(Results_!AV31*-1),Assessment!$D$62/2,Assessment!$D$62+Results_!AV31)))/Assessment!$D$55</f>
        <v>4.3873770459618277E-3</v>
      </c>
      <c r="AW4" s="140">
        <f>((IF((Assessment!$D$62/2)&gt;(Results_!AW31*-1),Assessment!$D$62/2,Assessment!$D$62+Results_!AW31)))/Assessment!$D$55</f>
        <v>4.4430370675498602E-3</v>
      </c>
      <c r="AX4" s="140">
        <f>((IF((Assessment!$D$62/2)&gt;(Results_!AX31*-1),Assessment!$D$62/2,Assessment!$D$62+Results_!AX31)))/Assessment!$D$55</f>
        <v>4.4953661519325982E-3</v>
      </c>
      <c r="AY4" s="140">
        <f>((IF((Assessment!$D$62/2)&gt;(Results_!AY31*-1),Assessment!$D$62/2,Assessment!$D$62+Results_!AY31)))/Assessment!$D$55</f>
        <v>4.5445977124783802E-3</v>
      </c>
      <c r="AZ4" s="140">
        <f>((IF((Assessment!$D$62/2)&gt;(Results_!AZ31*-1),Assessment!$D$62/2,Assessment!$D$62+Results_!AZ31)))/Assessment!$D$55</f>
        <v>4.5909452820019079E-3</v>
      </c>
      <c r="BA4" s="140">
        <f>((IF((Assessment!$D$62/2)&gt;(Results_!BA31*-1),Assessment!$D$62/2,Assessment!$D$62+Results_!BA31)))/Assessment!$D$55</f>
        <v>4.6346045696634844E-3</v>
      </c>
      <c r="BB4" s="140">
        <f>((IF((Assessment!$D$62/2)&gt;(Results_!BB31*-1),Assessment!$D$62/2,Assessment!$D$62+Results_!BB31)))/Assessment!$D$55</f>
        <v>4.6757552664696989E-3</v>
      </c>
      <c r="BC4" s="140">
        <f>((IF((Assessment!$D$62/2)&gt;(Results_!BC31*-1),Assessment!$D$62/2,Assessment!$D$62+Results_!BC31)))/Assessment!$D$55</f>
        <v>4.7145626345831623E-3</v>
      </c>
      <c r="BD4" s="140">
        <f>((IF((Assessment!$D$62/2)&gt;(Results_!BD31*-1),Assessment!$D$62/2,Assessment!$D$62+Results_!BD31)))/Assessment!$D$55</f>
        <v>4.7511789101244506E-3</v>
      </c>
      <c r="BE4" s="140">
        <f>((IF((Assessment!$D$62/2)&gt;(Results_!BE31*-1),Assessment!$D$62/2,Assessment!$D$62+Results_!BE31)))/Assessment!$D$55</f>
        <v>4.7857445445809825E-3</v>
      </c>
      <c r="BF4" s="140">
        <f>((IF((Assessment!$D$62/2)&gt;(Results_!BF31*-1),Assessment!$D$62/2,Assessment!$D$62+Results_!BF31)))/Assessment!$D$55</f>
        <v>4.8183893061450253E-3</v>
      </c>
      <c r="BG4" s="140">
        <f>((IF((Assessment!$D$62/2)&gt;(Results_!BG31*-1),Assessment!$D$62/2,Assessment!$D$62+Results_!BG31)))/Assessment!$D$55</f>
        <v>4.8492332591426246E-3</v>
      </c>
      <c r="BH4" s="140">
        <f>((IF((Assessment!$D$62/2)&gt;(Results_!BH31*-1),Assessment!$D$62/2,Assessment!$D$62+Results_!BH31)))/Assessment!$D$55</f>
        <v>4.8783876370721048E-3</v>
      </c>
      <c r="BI4" s="140">
        <f>((IF((Assessment!$D$62/2)&gt;(Results_!BI31*-1),Assessment!$D$62/2,Assessment!$D$62+Results_!BI31)))/Assessment!$D$55</f>
        <v>4.9059556225523483E-3</v>
      </c>
      <c r="BJ4" s="140">
        <f>((IF((Assessment!$D$62/2)&gt;(Results_!BJ31*-1),Assessment!$D$62/2,Assessment!$D$62+Results_!BJ31)))/Assessment!$D$55</f>
        <v>4.9320330456131788E-3</v>
      </c>
      <c r="BK4" s="140">
        <f>((IF((Assessment!$D$62/2)&gt;(Results_!BK31*-1),Assessment!$D$62/2,Assessment!$D$62+Results_!BK31)))/Assessment!$D$55</f>
        <v>4.9567090101819943E-3</v>
      </c>
      <c r="BL4" s="140">
        <f>((IF((Assessment!$D$62/2)&gt;(Results_!BL31*-1),Assessment!$D$62/2,Assessment!$D$62+Results_!BL31)))/Assessment!$D$55</f>
        <v>4.9800664572835496E-3</v>
      </c>
      <c r="BM4" s="140">
        <f>((IF((Assessment!$D$62/2)&gt;(Results_!BM31*-1),Assessment!$D$62/2,Assessment!$D$62+Results_!BM31)))/Assessment!$D$55</f>
        <v>5.0021826723331232E-3</v>
      </c>
      <c r="BN4" s="140">
        <f>((IF((Assessment!$D$62/2)&gt;(Results_!BN31*-1),Assessment!$D$62/2,Assessment!$D$62+Results_!BN31)))/Assessment!$D$55</f>
        <v>5.0231297429344608E-3</v>
      </c>
      <c r="BO4" s="140">
        <f>((IF((Assessment!$D$62/2)&gt;(Results_!BO31*-1),Assessment!$D$62/2,Assessment!$D$62+Results_!BO31)))/Assessment!$D$55</f>
        <v>5.0429749727656722E-3</v>
      </c>
      <c r="BP4" s="140">
        <f>((IF((Assessment!$D$62/2)&gt;(Results_!BP31*-1),Assessment!$D$62/2,Assessment!$D$62+Results_!BP31)))/Assessment!$D$55</f>
        <v>5.0617812564265211E-3</v>
      </c>
      <c r="BQ4" s="140">
        <f>((IF((Assessment!$D$62/2)&gt;(Results_!BQ31*-1),Assessment!$D$62/2,Assessment!$D$62+Results_!BQ31)))/Assessment!$D$55</f>
        <v>5.0796074195105902E-3</v>
      </c>
      <c r="BR4" s="140">
        <f>((IF((Assessment!$D$62/2)&gt;(Results_!BR31*-1),Assessment!$D$62/2,Assessment!$D$62+Results_!BR31)))/Assessment!$D$55</f>
        <v>5.0965085276403858E-3</v>
      </c>
      <c r="BS4" s="140">
        <f>((IF((Assessment!$D$62/2)&gt;(Results_!BS31*-1),Assessment!$D$62/2,Assessment!$D$62+Results_!BS31)))/Assessment!$D$55</f>
        <v>5.112536167749814E-3</v>
      </c>
      <c r="BT4" s="140">
        <f>((IF((Assessment!$D$62/2)&gt;(Results_!BT31*-1),Assessment!$D$62/2,Assessment!$D$62+Results_!BT31)))/Assessment!$D$55</f>
        <v>5.1277387045056523E-3</v>
      </c>
      <c r="BU4" s="140">
        <f>((IF((Assessment!$D$62/2)&gt;(Results_!BU31*-1),Assessment!$D$62/2,Assessment!$D$62+Results_!BU31)))/Assessment!$D$55</f>
        <v>5.1421615144190743E-3</v>
      </c>
      <c r="BV4" s="140">
        <f>((IF((Assessment!$D$62/2)&gt;(Results_!BV31*-1),Assessment!$D$62/2,Assessment!$D$62+Results_!BV31)))/Assessment!$D$55</f>
        <v>5.1558471999020488E-3</v>
      </c>
      <c r="BW4" s="140">
        <f>((IF((Assessment!$D$62/2)&gt;(Results_!BW31*-1),Assessment!$D$62/2,Assessment!$D$62+Results_!BW31)))/Assessment!$D$55</f>
        <v>5.1688357852653494E-3</v>
      </c>
      <c r="BX4" s="140">
        <f>((IF((Assessment!$D$62/2)&gt;(Results_!BX31*-1),Assessment!$D$62/2,Assessment!$D$62+Results_!BX31)))/Assessment!$D$55</f>
        <v>5.1811648964297605E-3</v>
      </c>
      <c r="BY4" s="140">
        <f>((IF((Assessment!$D$62/2)&gt;(Results_!BY31*-1),Assessment!$D$62/2,Assessment!$D$62+Results_!BY31)))/Assessment!$D$55</f>
        <v>5.1928699259247623E-3</v>
      </c>
      <c r="BZ4" s="140">
        <f>((IF((Assessment!$D$62/2)&gt;(Results_!BZ31*-1),Assessment!$D$62/2,Assessment!$D$62+Results_!BZ31)))/Assessment!$D$55</f>
        <v>5.2039841845764644E-3</v>
      </c>
      <c r="CA4" s="140">
        <f>((IF((Assessment!$D$62/2)&gt;(Results_!CA31*-1),Assessment!$D$62/2,Assessment!$D$62+Results_!CA31)))/Assessment!$D$55</f>
        <v>5.2145390411346883E-3</v>
      </c>
      <c r="CB4" s="140">
        <f>((IF((Assessment!$D$62/2)&gt;(Results_!CB31*-1),Assessment!$D$62/2,Assessment!$D$62+Results_!CB31)))/Assessment!$D$55</f>
        <v>5.2245640509557632E-3</v>
      </c>
      <c r="CC4" s="140">
        <f>((IF((Assessment!$D$62/2)&gt;(Results_!CC31*-1),Assessment!$D$62/2,Assessment!$D$62+Results_!CC31)))/Assessment!$D$55</f>
        <v>5.2340870747398967E-3</v>
      </c>
      <c r="CD4" s="140">
        <f>((IF((Assessment!$D$62/2)&gt;(Results_!CD31*-1),Assessment!$D$62/2,Assessment!$D$62+Results_!CD31)))/Assessment!$D$55</f>
        <v>5.2431343882182483E-3</v>
      </c>
      <c r="CE4" s="140">
        <f>((IF((Assessment!$D$62/2)&gt;(Results_!CE31*-1),Assessment!$D$62/2,Assessment!$D$62+Results_!CE31)))/Assessment!$D$55</f>
        <v>5.2517307835929393E-3</v>
      </c>
      <c r="CF4" s="140">
        <f>((IF((Assessment!$D$62/2)&gt;(Results_!CF31*-1),Assessment!$D$62/2,Assessment!$D$62+Results_!CF31)))/Assessment!$D$55</f>
        <v>5.2598996634519281E-3</v>
      </c>
      <c r="CG4" s="140">
        <f>((IF((Assessment!$D$62/2)&gt;(Results_!CG31*-1),Assessment!$D$62/2,Assessment!$D$62+Results_!CG31)))/Assessment!$D$55</f>
        <v>5.2676631278085247E-3</v>
      </c>
      <c r="CH4" s="140">
        <f>((IF((Assessment!$D$62/2)&gt;(Results_!CH31*-1),Assessment!$D$62/2,Assessment!$D$62+Results_!CH31)))/Assessment!$D$55</f>
        <v>5.2750420548512414E-3</v>
      </c>
      <c r="CI4" s="140">
        <f>((IF((Assessment!$D$62/2)&gt;(Results_!CI31*-1),Assessment!$D$62/2,Assessment!$D$62+Results_!CI31)))/Assessment!$D$55</f>
        <v>5.2820561759325405E-3</v>
      </c>
      <c r="CJ4" s="140">
        <f>((IF((Assessment!$D$62/2)&gt;(Results_!CJ31*-1),Assessment!$D$62/2,Assessment!$D$62+Results_!CJ31)))/Assessment!$D$55</f>
        <v>5.2887241452743003E-3</v>
      </c>
      <c r="CK4" s="140">
        <f>((IF((Assessment!$D$62/2)&gt;(Results_!CK31*-1),Assessment!$D$62/2,Assessment!$D$62+Results_!CK31)))/Assessment!$D$55</f>
        <v>5.2950636048223303E-3</v>
      </c>
      <c r="CL4" s="140">
        <f>((IF((Assessment!$D$62/2)&gt;(Results_!CL31*-1),Assessment!$D$62/2,Assessment!$D$62+Results_!CL31)))/Assessment!$D$55</f>
        <v>5.3010912446418198E-3</v>
      </c>
      <c r="CM4" s="140">
        <f>((IF((Assessment!$D$62/2)&gt;(Results_!CM31*-1),Assessment!$D$62/2,Assessment!$D$62+Results_!CM31)))/Assessment!$D$55</f>
        <v>5.3068228592091943E-3</v>
      </c>
      <c r="CN4" s="140">
        <f>((IF((Assessment!$D$62/2)&gt;(Results_!CN31*-1),Assessment!$D$62/2,Assessment!$D$62+Results_!CN31)))/Assessment!$D$55</f>
        <v>5.3122733999234218E-3</v>
      </c>
      <c r="CO4" s="140">
        <f>((IF((Assessment!$D$62/2)&gt;(Results_!CO31*-1),Assessment!$D$62/2,Assessment!$D$62+Results_!CO31)))/Assessment!$D$55</f>
        <v>5.3174570241305338E-3</v>
      </c>
      <c r="CP4" s="140">
        <f>((IF((Assessment!$D$62/2)&gt;(Results_!CP31*-1),Assessment!$D$62/2,Assessment!$D$62+Results_!CP31)))/Assessment!$D$55</f>
        <v>5.3223871409289573E-3</v>
      </c>
      <c r="CQ4" s="140">
        <f>((IF((Assessment!$D$62/2)&gt;(Results_!CQ31*-1),Assessment!$D$62/2,Assessment!$D$62+Results_!CQ31)))/Assessment!$D$55</f>
        <v>5.3270764539996192E-3</v>
      </c>
      <c r="CR4" s="140">
        <f>((IF((Assessment!$D$62/2)&gt;(Results_!CR31*-1),Assessment!$D$62/2,Assessment!$D$62+Results_!CR31)))/Assessment!$D$55</f>
        <v>5.3315370016835395E-3</v>
      </c>
      <c r="CS4" s="140">
        <f>((IF((Assessment!$D$62/2)&gt;(Results_!CS31*-1),Assessment!$D$62/2,Assessment!$D$62+Results_!CS31)))/Assessment!$D$55</f>
        <v>5.3357801945104356E-3</v>
      </c>
      <c r="CT4" s="140">
        <f>((IF((Assessment!$D$62/2)&gt;(Results_!CT31*-1),Assessment!$D$62/2,Assessment!$D$62+Results_!CT31)))/Assessment!$D$55</f>
        <v>5.3398168503645867E-3</v>
      </c>
      <c r="CU4" s="140">
        <f>((IF((Assessment!$D$62/2)&gt;(Results_!CU31*-1),Assessment!$D$62/2,Assessment!$D$62+Results_!CU31)))/Assessment!$D$55</f>
        <v>5.3436572274585207E-3</v>
      </c>
      <c r="CV4" s="140">
        <f>((IF((Assessment!$D$62/2)&gt;(Results_!CV31*-1),Assessment!$D$62/2,Assessment!$D$62+Results_!CV31)))/Assessment!$D$55</f>
        <v>5.3473110552709124E-3</v>
      </c>
      <c r="CW4" s="140">
        <f>((IF((Assessment!$D$62/2)&gt;(Results_!CW31*-1),Assessment!$D$62/2,Assessment!$D$62+Results_!CW31)))/Assessment!$D$55</f>
        <v>5.3507875635922875E-3</v>
      </c>
      <c r="CX4" s="140">
        <f>((IF((Assessment!$D$62/2)&gt;(Results_!CX31*-1),Assessment!$D$62/2,Assessment!$D$62+Results_!CX31)))/Assessment!$D$55</f>
        <v>5.3540955098104435E-3</v>
      </c>
      <c r="CY4" s="140">
        <f>((IF((Assessment!$D$62/2)&gt;(Results_!CY31*-1),Assessment!$D$62/2,Assessment!$D$62+Results_!CY31)))/Assessment!$D$55</f>
        <v>5.3572432045569359E-3</v>
      </c>
      <c r="CZ4" s="140">
        <f>((IF((Assessment!$D$62/2)&gt;(Results_!CZ31*-1),Assessment!$D$62/2,Assessment!$D$62+Results_!CZ31)))/Assessment!$D$55</f>
        <v>5.3602385358263449E-3</v>
      </c>
      <c r="DA4" s="140">
        <f>((IF((Assessment!$D$62/2)&gt;(Results_!DA31*-1),Assessment!$D$62/2,Assessment!$D$62+Results_!DA31)))/Assessment!$D$55</f>
        <v>5.3630889916713503E-3</v>
      </c>
    </row>
    <row r="5" spans="1:105" ht="25.5" x14ac:dyDescent="0.2">
      <c r="A5" s="311"/>
      <c r="B5" s="305" t="s">
        <v>236</v>
      </c>
      <c r="C5" s="309" t="str">
        <f>Assessment!C219</f>
        <v>--Loft top-up loft insulation (150 to 270mm), 50% client funded---</v>
      </c>
      <c r="D5" s="130" t="s">
        <v>162</v>
      </c>
      <c r="E5" s="132">
        <v>1</v>
      </c>
      <c r="F5" s="132">
        <v>1</v>
      </c>
      <c r="G5" s="129">
        <v>0.54853273137697534</v>
      </c>
      <c r="H5" s="132">
        <v>0.39992820811519225</v>
      </c>
      <c r="I5" s="132">
        <v>0.32701298604810758</v>
      </c>
      <c r="J5" s="183">
        <v>0.28434471475001144</v>
      </c>
      <c r="K5" s="132">
        <v>0.25677017068089891</v>
      </c>
      <c r="L5" s="132">
        <v>0.23779079424527477</v>
      </c>
      <c r="M5" s="132">
        <v>0.22415413919505184</v>
      </c>
      <c r="N5" s="132">
        <v>0.21405105633575719</v>
      </c>
      <c r="O5" s="183">
        <v>0.20639457629760086</v>
      </c>
      <c r="P5" s="132">
        <v>0.20639457629760086</v>
      </c>
      <c r="Q5" s="132">
        <v>0.20639457629760086</v>
      </c>
      <c r="R5" s="132">
        <v>0.20639457629760086</v>
      </c>
      <c r="S5" s="132">
        <v>0.20639457629760086</v>
      </c>
      <c r="T5" s="132">
        <v>0.20639457629760086</v>
      </c>
      <c r="U5" s="132">
        <v>0.20639457629760086</v>
      </c>
      <c r="V5" s="132">
        <v>0.20639457629760086</v>
      </c>
      <c r="W5" s="132">
        <v>0.20639457629760086</v>
      </c>
      <c r="X5" s="132">
        <v>0.20639457629760086</v>
      </c>
      <c r="Y5" s="132">
        <v>0.20639457629760086</v>
      </c>
      <c r="Z5" s="132">
        <v>0.20639457629760086</v>
      </c>
      <c r="AA5" s="132">
        <v>0.20639457629760086</v>
      </c>
      <c r="AB5" s="132">
        <v>0.20639457629760086</v>
      </c>
      <c r="AC5" s="132">
        <v>0.20639457629760086</v>
      </c>
      <c r="AD5" s="183">
        <v>0.20639457629760086</v>
      </c>
    </row>
    <row r="6" spans="1:105" ht="25.5" x14ac:dyDescent="0.2">
      <c r="A6" s="312"/>
      <c r="B6" s="305"/>
      <c r="C6" s="310"/>
      <c r="D6" s="130" t="s">
        <v>163</v>
      </c>
      <c r="E6" s="132">
        <v>1</v>
      </c>
      <c r="F6" s="132">
        <v>1</v>
      </c>
      <c r="G6" s="128">
        <v>0.52494061757719712</v>
      </c>
      <c r="H6" s="132">
        <v>0.36711239392367773</v>
      </c>
      <c r="I6" s="132">
        <v>0.28859000577535016</v>
      </c>
      <c r="J6" s="183">
        <v>0.24178777862639159</v>
      </c>
      <c r="K6" s="132">
        <v>0.21084332545555282</v>
      </c>
      <c r="L6" s="132">
        <v>0.18895806939465784</v>
      </c>
      <c r="M6" s="132">
        <v>0.17273237672769687</v>
      </c>
      <c r="N6" s="132">
        <v>0.16027726979377493</v>
      </c>
      <c r="O6" s="183">
        <v>0.15045911368891715</v>
      </c>
      <c r="P6" s="132">
        <v>0.15045911368891715</v>
      </c>
      <c r="Q6" s="132">
        <v>0.15045911368891715</v>
      </c>
      <c r="R6" s="132">
        <v>0.15045911368891715</v>
      </c>
      <c r="S6" s="132">
        <v>0.15045911368891715</v>
      </c>
      <c r="T6" s="132">
        <v>0.15045911368891715</v>
      </c>
      <c r="U6" s="132">
        <v>0.15045911368891715</v>
      </c>
      <c r="V6" s="132">
        <v>0.15045911368891715</v>
      </c>
      <c r="W6" s="132">
        <v>0.15045911368891715</v>
      </c>
      <c r="X6" s="132">
        <v>0.15045911368891715</v>
      </c>
      <c r="Y6" s="132">
        <v>0.15045911368891715</v>
      </c>
      <c r="Z6" s="132">
        <v>0.15045911368891715</v>
      </c>
      <c r="AA6" s="132">
        <v>0.15045911368891715</v>
      </c>
      <c r="AB6" s="132">
        <v>0.15045911368891715</v>
      </c>
      <c r="AC6" s="132">
        <v>0.15045911368891715</v>
      </c>
      <c r="AD6" s="183">
        <v>0.15045911368891715</v>
      </c>
    </row>
    <row r="7" spans="1:105" ht="22.5" customHeight="1" x14ac:dyDescent="0.2">
      <c r="A7" s="163"/>
      <c r="B7" s="178"/>
      <c r="C7" s="179"/>
      <c r="E7" s="130" t="s">
        <v>237</v>
      </c>
      <c r="F7" s="127">
        <v>1</v>
      </c>
      <c r="G7" s="127">
        <v>2</v>
      </c>
      <c r="H7" s="127">
        <v>3</v>
      </c>
      <c r="I7" s="127">
        <v>4</v>
      </c>
      <c r="J7" s="127">
        <v>5</v>
      </c>
      <c r="K7" s="127">
        <v>6</v>
      </c>
      <c r="L7" s="127">
        <v>7</v>
      </c>
      <c r="M7" s="127">
        <v>8</v>
      </c>
      <c r="N7" s="127">
        <v>9</v>
      </c>
      <c r="O7" s="127">
        <v>10</v>
      </c>
      <c r="P7" s="127">
        <v>11</v>
      </c>
      <c r="Q7" s="127">
        <v>12</v>
      </c>
      <c r="R7" s="127">
        <v>13</v>
      </c>
      <c r="S7" s="127">
        <v>14</v>
      </c>
      <c r="T7" s="127">
        <v>15</v>
      </c>
      <c r="U7" s="127">
        <v>16</v>
      </c>
      <c r="V7" s="127">
        <v>17</v>
      </c>
      <c r="W7" s="127">
        <v>18</v>
      </c>
      <c r="X7" s="127">
        <v>19</v>
      </c>
      <c r="Y7" s="127">
        <v>20</v>
      </c>
      <c r="Z7" s="127">
        <v>21</v>
      </c>
      <c r="AA7" s="127">
        <v>22</v>
      </c>
      <c r="AB7" s="127">
        <v>23</v>
      </c>
      <c r="AC7" s="127">
        <v>24</v>
      </c>
      <c r="AD7" s="127">
        <v>25</v>
      </c>
      <c r="AE7" s="127">
        <v>26</v>
      </c>
      <c r="AF7" s="127">
        <v>27</v>
      </c>
      <c r="AG7" s="127">
        <v>28</v>
      </c>
      <c r="AH7" s="127">
        <v>29</v>
      </c>
      <c r="AI7" s="127">
        <v>30</v>
      </c>
      <c r="AJ7" s="127">
        <v>31</v>
      </c>
      <c r="AK7" s="127">
        <v>32</v>
      </c>
      <c r="AL7" s="127">
        <v>33</v>
      </c>
      <c r="AM7" s="127">
        <v>34</v>
      </c>
      <c r="AN7" s="127">
        <v>35</v>
      </c>
      <c r="AO7" s="127">
        <v>36</v>
      </c>
      <c r="AP7" s="127">
        <v>37</v>
      </c>
      <c r="AQ7" s="127">
        <v>38</v>
      </c>
      <c r="AR7" s="127">
        <v>39</v>
      </c>
      <c r="AS7" s="127">
        <v>40</v>
      </c>
      <c r="AT7" s="127">
        <v>41</v>
      </c>
      <c r="AU7" s="127">
        <v>42</v>
      </c>
      <c r="AV7" s="127">
        <v>43</v>
      </c>
      <c r="AW7" s="127">
        <v>44</v>
      </c>
      <c r="AX7" s="127">
        <v>45</v>
      </c>
      <c r="AY7" s="127">
        <v>46</v>
      </c>
      <c r="AZ7" s="127">
        <v>47</v>
      </c>
      <c r="BA7" s="127">
        <v>48</v>
      </c>
      <c r="BB7" s="127">
        <v>49</v>
      </c>
      <c r="BC7" s="127">
        <v>50</v>
      </c>
      <c r="BD7" s="127">
        <v>51</v>
      </c>
      <c r="BE7" s="127">
        <v>52</v>
      </c>
      <c r="BF7" s="127">
        <v>53</v>
      </c>
      <c r="BG7" s="127">
        <v>54</v>
      </c>
      <c r="BH7" s="127">
        <v>55</v>
      </c>
      <c r="BI7" s="127">
        <v>56</v>
      </c>
      <c r="BJ7" s="127">
        <v>57</v>
      </c>
      <c r="BK7" s="127">
        <v>58</v>
      </c>
      <c r="BL7" s="127">
        <v>59</v>
      </c>
      <c r="BM7" s="127">
        <v>60</v>
      </c>
      <c r="BN7" s="127">
        <v>61</v>
      </c>
      <c r="BO7" s="127">
        <v>62</v>
      </c>
      <c r="BP7" s="127">
        <v>63</v>
      </c>
      <c r="BQ7" s="127">
        <v>64</v>
      </c>
      <c r="BR7" s="127">
        <v>65</v>
      </c>
      <c r="BS7" s="127">
        <v>66</v>
      </c>
      <c r="BT7" s="127">
        <v>67</v>
      </c>
      <c r="BU7" s="127">
        <v>68</v>
      </c>
      <c r="BV7" s="127">
        <v>69</v>
      </c>
      <c r="BW7" s="127">
        <v>70</v>
      </c>
      <c r="BX7" s="127">
        <v>71</v>
      </c>
      <c r="BY7" s="127">
        <v>72</v>
      </c>
      <c r="BZ7" s="127">
        <v>73</v>
      </c>
      <c r="CA7" s="127">
        <v>74</v>
      </c>
      <c r="CB7" s="127">
        <v>75</v>
      </c>
      <c r="CC7" s="127">
        <v>76</v>
      </c>
      <c r="CD7" s="127">
        <v>77</v>
      </c>
      <c r="CE7" s="127">
        <v>78</v>
      </c>
      <c r="CF7" s="127">
        <v>79</v>
      </c>
      <c r="CG7" s="127">
        <v>80</v>
      </c>
      <c r="CH7" s="127">
        <v>81</v>
      </c>
      <c r="CI7" s="127">
        <v>82</v>
      </c>
      <c r="CJ7" s="127">
        <v>83</v>
      </c>
      <c r="CK7" s="127">
        <v>84</v>
      </c>
      <c r="CL7" s="127">
        <v>85</v>
      </c>
      <c r="CM7" s="127">
        <v>86</v>
      </c>
      <c r="CN7" s="127">
        <v>87</v>
      </c>
      <c r="CO7" s="127">
        <v>88</v>
      </c>
      <c r="CP7" s="127">
        <v>89</v>
      </c>
      <c r="CQ7" s="127">
        <v>90</v>
      </c>
      <c r="CR7" s="127">
        <v>91</v>
      </c>
      <c r="CS7" s="127">
        <v>92</v>
      </c>
      <c r="CT7" s="127">
        <v>93</v>
      </c>
      <c r="CU7" s="127">
        <v>94</v>
      </c>
      <c r="CV7" s="127">
        <v>95</v>
      </c>
      <c r="CW7" s="127">
        <v>96</v>
      </c>
      <c r="CX7" s="127">
        <v>97</v>
      </c>
      <c r="CY7" s="127">
        <v>98</v>
      </c>
      <c r="CZ7" s="127">
        <v>99</v>
      </c>
      <c r="DA7" s="127">
        <v>100</v>
      </c>
    </row>
    <row r="8" spans="1:105" s="139" customFormat="1" ht="25.5" x14ac:dyDescent="0.2">
      <c r="A8" s="316" t="s">
        <v>60</v>
      </c>
      <c r="B8" s="319" t="s">
        <v>283</v>
      </c>
      <c r="C8" s="318" t="str">
        <f>Assessment!C$220</f>
        <v>--</v>
      </c>
      <c r="D8" s="137" t="s">
        <v>162</v>
      </c>
      <c r="E8" s="144">
        <v>-8.734941063733891E-3</v>
      </c>
      <c r="F8" s="144">
        <f>(Assessment!$D$139-(Assessment!$D$119-F33))/Assessment!$D$139</f>
        <v>0</v>
      </c>
      <c r="G8" s="144">
        <f>(Assessment!$D$139-(Assessment!$D$119-G33))/Assessment!$D$139</f>
        <v>0</v>
      </c>
      <c r="H8" s="144">
        <f>(Assessment!$D$139-(Assessment!$D$119-H33))/Assessment!$D$139</f>
        <v>0</v>
      </c>
      <c r="I8" s="144">
        <f>(Assessment!$D$139-(Assessment!$D$119-I33))/Assessment!$D$139</f>
        <v>0</v>
      </c>
      <c r="J8" s="184">
        <f>(Assessment!$D$139-(Assessment!$D$119-J33))/Assessment!$D$139</f>
        <v>0</v>
      </c>
      <c r="K8" s="144">
        <f>(Assessment!$D$139-(Assessment!$D$119-K33))/Assessment!$D$139</f>
        <v>0</v>
      </c>
      <c r="L8" s="144">
        <f>(Assessment!$D$139-(Assessment!$D$119-L33))/Assessment!$D$139</f>
        <v>0</v>
      </c>
      <c r="M8" s="144">
        <f>(Assessment!$D$139-(Assessment!$D$119-M33))/Assessment!$D$139</f>
        <v>0</v>
      </c>
      <c r="N8" s="144">
        <f>(Assessment!$D$139-(Assessment!$D$119-N33))/Assessment!$D$139</f>
        <v>0</v>
      </c>
      <c r="O8" s="184">
        <f>(Assessment!$D$139-(Assessment!$D$119-O33))/Assessment!$D$139</f>
        <v>0</v>
      </c>
      <c r="P8" s="144">
        <f>(Assessment!$D$139-(Assessment!$D$119-P33))/Assessment!$D$139</f>
        <v>0</v>
      </c>
      <c r="Q8" s="144">
        <f>(Assessment!$D$139-(Assessment!$D$119-Q33))/Assessment!$D$139</f>
        <v>0</v>
      </c>
      <c r="R8" s="144">
        <f>(Assessment!$D$139-(Assessment!$D$119-R33))/Assessment!$D$139</f>
        <v>0</v>
      </c>
      <c r="S8" s="144">
        <f>(Assessment!$D$139-(Assessment!$D$119-S33))/Assessment!$D$139</f>
        <v>0</v>
      </c>
      <c r="T8" s="144">
        <f>(Assessment!$D$139-(Assessment!$D$119-T33))/Assessment!$D$139</f>
        <v>0</v>
      </c>
      <c r="U8" s="144">
        <f>(Assessment!$D$139-(Assessment!$D$119-U33))/Assessment!$D$139</f>
        <v>0</v>
      </c>
      <c r="V8" s="144">
        <f>(Assessment!$D$139-(Assessment!$D$119-V33))/Assessment!$D$139</f>
        <v>0</v>
      </c>
      <c r="W8" s="144">
        <f>(Assessment!$D$139-(Assessment!$D$119-W33))/Assessment!$D$139</f>
        <v>0</v>
      </c>
      <c r="X8" s="144">
        <f>(Assessment!$D$139-(Assessment!$D$119-X33))/Assessment!$D$139</f>
        <v>0</v>
      </c>
      <c r="Y8" s="144">
        <f>(Assessment!$D$139-(Assessment!$D$119-Y33))/Assessment!$D$139</f>
        <v>0</v>
      </c>
      <c r="Z8" s="144">
        <f>(Assessment!$D$139-(Assessment!$D$119-Z33))/Assessment!$D$139</f>
        <v>0</v>
      </c>
      <c r="AA8" s="144">
        <f>(Assessment!$D$139-(Assessment!$D$119-AA33))/Assessment!$D$139</f>
        <v>0</v>
      </c>
      <c r="AB8" s="144">
        <f>(Assessment!$D$139-(Assessment!$D$119-AB33))/Assessment!$D$139</f>
        <v>0</v>
      </c>
      <c r="AC8" s="144">
        <f>(Assessment!$D$139-(Assessment!$D$119-AC33))/Assessment!$D$139</f>
        <v>0</v>
      </c>
      <c r="AD8" s="184">
        <f>(Assessment!$D$139-(Assessment!$D$119-AD33))/Assessment!$D$139</f>
        <v>0</v>
      </c>
      <c r="AE8" s="144">
        <f>(Assessment!$D$139-(Assessment!$D$119-AE33))/Assessment!$D$139</f>
        <v>0</v>
      </c>
      <c r="AF8" s="144">
        <f>(Assessment!$D$139-(Assessment!$D$119-AF33))/Assessment!$D$139</f>
        <v>0</v>
      </c>
      <c r="AG8" s="144">
        <f>(Assessment!$D$139-(Assessment!$D$119-AG33))/Assessment!$D$139</f>
        <v>0</v>
      </c>
      <c r="AH8" s="144">
        <f>(Assessment!$D$139-(Assessment!$D$119-AH33))/Assessment!$D$139</f>
        <v>0</v>
      </c>
      <c r="AI8" s="144">
        <f>(Assessment!$D$139-(Assessment!$D$119-AI33))/Assessment!$D$139</f>
        <v>0</v>
      </c>
      <c r="AJ8" s="144">
        <f>(Assessment!$D$139-(Assessment!$D$119-AJ33))/Assessment!$D$139</f>
        <v>0</v>
      </c>
      <c r="AK8" s="144">
        <f>(Assessment!$D$139-(Assessment!$D$119-AK33))/Assessment!$D$139</f>
        <v>0</v>
      </c>
      <c r="AL8" s="144">
        <f>(Assessment!$D$139-(Assessment!$D$119-AL33))/Assessment!$D$139</f>
        <v>0</v>
      </c>
      <c r="AM8" s="144">
        <f>(Assessment!$D$139-(Assessment!$D$119-AM33))/Assessment!$D$139</f>
        <v>0</v>
      </c>
      <c r="AN8" s="144">
        <f>(Assessment!$D$139-(Assessment!$D$119-AN33))/Assessment!$D$139</f>
        <v>0</v>
      </c>
      <c r="AO8" s="144">
        <f>(Assessment!$D$139-(Assessment!$D$119-AO33))/Assessment!$D$139</f>
        <v>0</v>
      </c>
      <c r="AP8" s="144">
        <f>(Assessment!$D$139-(Assessment!$D$119-AP33))/Assessment!$D$139</f>
        <v>0</v>
      </c>
      <c r="AQ8" s="144">
        <f>(Assessment!$D$139-(Assessment!$D$119-AQ33))/Assessment!$D$139</f>
        <v>0</v>
      </c>
      <c r="AR8" s="144">
        <f>(Assessment!$D$139-(Assessment!$D$119-AR33))/Assessment!$D$139</f>
        <v>0</v>
      </c>
      <c r="AS8" s="144">
        <f>(Assessment!$D$139-(Assessment!$D$119-AS33))/Assessment!$D$139</f>
        <v>0</v>
      </c>
      <c r="AT8" s="144">
        <f>(Assessment!$D$139-(Assessment!$D$119-AT33))/Assessment!$D$139</f>
        <v>0</v>
      </c>
      <c r="AU8" s="144">
        <f>(Assessment!$D$139-(Assessment!$D$119-AU33))/Assessment!$D$139</f>
        <v>0</v>
      </c>
      <c r="AV8" s="144">
        <f>(Assessment!$D$139-(Assessment!$D$119-AV33))/Assessment!$D$139</f>
        <v>0</v>
      </c>
      <c r="AW8" s="144">
        <f>(Assessment!$D$139-(Assessment!$D$119-AW33))/Assessment!$D$139</f>
        <v>0</v>
      </c>
      <c r="AX8" s="144">
        <f>(Assessment!$D$139-(Assessment!$D$119-AX33))/Assessment!$D$139</f>
        <v>0</v>
      </c>
      <c r="AY8" s="144">
        <f>(Assessment!$D$139-(Assessment!$D$119-AY33))/Assessment!$D$139</f>
        <v>0</v>
      </c>
      <c r="AZ8" s="144">
        <f>(Assessment!$D$139-(Assessment!$D$119-AZ33))/Assessment!$D$139</f>
        <v>0</v>
      </c>
      <c r="BA8" s="144">
        <f>(Assessment!$D$139-(Assessment!$D$119-BA33))/Assessment!$D$139</f>
        <v>0</v>
      </c>
      <c r="BB8" s="144">
        <f>(Assessment!$D$139-(Assessment!$D$119-BB33))/Assessment!$D$139</f>
        <v>0</v>
      </c>
      <c r="BC8" s="144">
        <f>(Assessment!$D$139-(Assessment!$D$119-BC33))/Assessment!$D$139</f>
        <v>0</v>
      </c>
      <c r="BD8" s="144">
        <f>(Assessment!$D$139-(Assessment!$D$119-BD33))/Assessment!$D$139</f>
        <v>0</v>
      </c>
      <c r="BE8" s="144">
        <f>(Assessment!$D$139-(Assessment!$D$119-BE33))/Assessment!$D$139</f>
        <v>0</v>
      </c>
      <c r="BF8" s="144">
        <f>(Assessment!$D$139-(Assessment!$D$119-BF33))/Assessment!$D$139</f>
        <v>0</v>
      </c>
      <c r="BG8" s="144">
        <f>(Assessment!$D$139-(Assessment!$D$119-BG33))/Assessment!$D$139</f>
        <v>0</v>
      </c>
      <c r="BH8" s="144">
        <f>(Assessment!$D$139-(Assessment!$D$119-BH33))/Assessment!$D$139</f>
        <v>0</v>
      </c>
      <c r="BI8" s="144">
        <f>(Assessment!$D$139-(Assessment!$D$119-BI33))/Assessment!$D$139</f>
        <v>0</v>
      </c>
      <c r="BJ8" s="144">
        <f>(Assessment!$D$139-(Assessment!$D$119-BJ33))/Assessment!$D$139</f>
        <v>0</v>
      </c>
      <c r="BK8" s="144">
        <f>(Assessment!$D$139-(Assessment!$D$119-BK33))/Assessment!$D$139</f>
        <v>0</v>
      </c>
      <c r="BL8" s="144">
        <f>(Assessment!$D$139-(Assessment!$D$119-BL33))/Assessment!$D$139</f>
        <v>0</v>
      </c>
      <c r="BM8" s="144">
        <f>(Assessment!$D$139-(Assessment!$D$119-BM33))/Assessment!$D$139</f>
        <v>0</v>
      </c>
      <c r="BN8" s="144">
        <f>(Assessment!$D$139-(Assessment!$D$119-BN33))/Assessment!$D$139</f>
        <v>0</v>
      </c>
      <c r="BO8" s="144">
        <f>(Assessment!$D$139-(Assessment!$D$119-BO33))/Assessment!$D$139</f>
        <v>0</v>
      </c>
      <c r="BP8" s="144">
        <f>(Assessment!$D$139-(Assessment!$D$119-BP33))/Assessment!$D$139</f>
        <v>0</v>
      </c>
      <c r="BQ8" s="144">
        <f>(Assessment!$D$139-(Assessment!$D$119-BQ33))/Assessment!$D$139</f>
        <v>0</v>
      </c>
      <c r="BR8" s="144">
        <f>(Assessment!$D$139-(Assessment!$D$119-BR33))/Assessment!$D$139</f>
        <v>0</v>
      </c>
      <c r="BS8" s="144">
        <f>(Assessment!$D$139-(Assessment!$D$119-BS33))/Assessment!$D$139</f>
        <v>0</v>
      </c>
      <c r="BT8" s="144">
        <f>(Assessment!$D$139-(Assessment!$D$119-BT33))/Assessment!$D$139</f>
        <v>0</v>
      </c>
      <c r="BU8" s="144">
        <f>(Assessment!$D$139-(Assessment!$D$119-BU33))/Assessment!$D$139</f>
        <v>0</v>
      </c>
      <c r="BV8" s="144">
        <f>(Assessment!$D$139-(Assessment!$D$119-BV33))/Assessment!$D$139</f>
        <v>0</v>
      </c>
      <c r="BW8" s="144">
        <f>(Assessment!$D$139-(Assessment!$D$119-BW33))/Assessment!$D$139</f>
        <v>0</v>
      </c>
      <c r="BX8" s="144">
        <f>(Assessment!$D$139-(Assessment!$D$119-BX33))/Assessment!$D$139</f>
        <v>0</v>
      </c>
      <c r="BY8" s="144">
        <f>(Assessment!$D$139-(Assessment!$D$119-BY33))/Assessment!$D$139</f>
        <v>0</v>
      </c>
      <c r="BZ8" s="144">
        <f>(Assessment!$D$139-(Assessment!$D$119-BZ33))/Assessment!$D$139</f>
        <v>0</v>
      </c>
      <c r="CA8" s="144">
        <f>(Assessment!$D$139-(Assessment!$D$119-CA33))/Assessment!$D$139</f>
        <v>0</v>
      </c>
      <c r="CB8" s="144">
        <f>(Assessment!$D$139-(Assessment!$D$119-CB33))/Assessment!$D$139</f>
        <v>0</v>
      </c>
      <c r="CC8" s="144">
        <f>(Assessment!$D$139-(Assessment!$D$119-CC33))/Assessment!$D$139</f>
        <v>0</v>
      </c>
      <c r="CD8" s="144">
        <f>(Assessment!$D$139-(Assessment!$D$119-CD33))/Assessment!$D$139</f>
        <v>0</v>
      </c>
      <c r="CE8" s="144">
        <f>(Assessment!$D$139-(Assessment!$D$119-CE33))/Assessment!$D$139</f>
        <v>0</v>
      </c>
      <c r="CF8" s="144">
        <f>(Assessment!$D$139-(Assessment!$D$119-CF33))/Assessment!$D$139</f>
        <v>0</v>
      </c>
      <c r="CG8" s="144">
        <f>(Assessment!$D$139-(Assessment!$D$119-CG33))/Assessment!$D$139</f>
        <v>0</v>
      </c>
      <c r="CH8" s="144">
        <f>(Assessment!$D$139-(Assessment!$D$119-CH33))/Assessment!$D$139</f>
        <v>0</v>
      </c>
      <c r="CI8" s="144">
        <f>(Assessment!$D$139-(Assessment!$D$119-CI33))/Assessment!$D$139</f>
        <v>0</v>
      </c>
      <c r="CJ8" s="144">
        <f>(Assessment!$D$139-(Assessment!$D$119-CJ33))/Assessment!$D$139</f>
        <v>0</v>
      </c>
      <c r="CK8" s="144">
        <f>(Assessment!$D$139-(Assessment!$D$119-CK33))/Assessment!$D$139</f>
        <v>0</v>
      </c>
      <c r="CL8" s="144">
        <f>(Assessment!$D$139-(Assessment!$D$119-CL33))/Assessment!$D$139</f>
        <v>0</v>
      </c>
      <c r="CM8" s="144">
        <f>(Assessment!$D$139-(Assessment!$D$119-CM33))/Assessment!$D$139</f>
        <v>0</v>
      </c>
      <c r="CN8" s="144">
        <f>(Assessment!$D$139-(Assessment!$D$119-CN33))/Assessment!$D$139</f>
        <v>0</v>
      </c>
      <c r="CO8" s="144">
        <f>(Assessment!$D$139-(Assessment!$D$119-CO33))/Assessment!$D$139</f>
        <v>0</v>
      </c>
      <c r="CP8" s="144">
        <f>(Assessment!$D$139-(Assessment!$D$119-CP33))/Assessment!$D$139</f>
        <v>0</v>
      </c>
      <c r="CQ8" s="144">
        <f>(Assessment!$D$139-(Assessment!$D$119-CQ33))/Assessment!$D$139</f>
        <v>0</v>
      </c>
      <c r="CR8" s="144">
        <f>(Assessment!$D$139-(Assessment!$D$119-CR33))/Assessment!$D$139</f>
        <v>0</v>
      </c>
      <c r="CS8" s="144">
        <f>(Assessment!$D$139-(Assessment!$D$119-CS33))/Assessment!$D$139</f>
        <v>0</v>
      </c>
      <c r="CT8" s="144">
        <f>(Assessment!$D$139-(Assessment!$D$119-CT33))/Assessment!$D$139</f>
        <v>0</v>
      </c>
      <c r="CU8" s="144">
        <f>(Assessment!$D$139-(Assessment!$D$119-CU33))/Assessment!$D$139</f>
        <v>0</v>
      </c>
      <c r="CV8" s="144">
        <f>(Assessment!$D$139-(Assessment!$D$119-CV33))/Assessment!$D$139</f>
        <v>0</v>
      </c>
      <c r="CW8" s="144">
        <f>(Assessment!$D$139-(Assessment!$D$119-CW33))/Assessment!$D$139</f>
        <v>0</v>
      </c>
      <c r="CX8" s="144">
        <f>(Assessment!$D$139-(Assessment!$D$119-CX33))/Assessment!$D$139</f>
        <v>0</v>
      </c>
      <c r="CY8" s="144">
        <f>(Assessment!$D$139-(Assessment!$D$119-CY33))/Assessment!$D$139</f>
        <v>0</v>
      </c>
      <c r="CZ8" s="144">
        <f>(Assessment!$D$139-(Assessment!$D$119-CZ33))/Assessment!$D$139</f>
        <v>0</v>
      </c>
      <c r="DA8" s="144">
        <f>(Assessment!$D$139-(Assessment!$D$119-DA33))/Assessment!$D$139</f>
        <v>0</v>
      </c>
    </row>
    <row r="9" spans="1:105" s="139" customFormat="1" ht="25.5" x14ac:dyDescent="0.2">
      <c r="A9" s="317"/>
      <c r="B9" s="319"/>
      <c r="C9" s="318"/>
      <c r="D9" s="137" t="s">
        <v>163</v>
      </c>
      <c r="E9" s="144">
        <v>-4.3674705318669455E-3</v>
      </c>
      <c r="F9" s="144">
        <f>((IF((Assessment!$D$124/2)&gt;(F34*-1),(Assessment!$D$124/2),(Assessment!$D$124+F34))))/Assessment!$D$150</f>
        <v>0</v>
      </c>
      <c r="G9" s="144">
        <f>((IF((Assessment!$D$124/2)&gt;(G34*-1),(Assessment!$D$124/2),(Assessment!$D$124+G34))))/Assessment!$D$150</f>
        <v>0</v>
      </c>
      <c r="H9" s="144">
        <f>((IF((Assessment!$D$124/2)&gt;(H34*-1),(Assessment!$D$124/2),(Assessment!$D$124+H34))))/Assessment!$D$150</f>
        <v>0</v>
      </c>
      <c r="I9" s="144">
        <f>((IF((Assessment!$D$124/2)&gt;(I34*-1),(Assessment!$D$124/2),(Assessment!$D$124+I34))))/Assessment!$D$150</f>
        <v>0</v>
      </c>
      <c r="J9" s="144">
        <f>((IF((Assessment!$D$124/2)&gt;(J34*-1),(Assessment!$D$124/2),(Assessment!$D$124+J34))))/Assessment!$D$150</f>
        <v>0</v>
      </c>
      <c r="K9" s="144">
        <f>((IF((Assessment!$D$124/2)&gt;(K34*-1),(Assessment!$D$124/2),(Assessment!$D$124+K34))))/Assessment!$D$150</f>
        <v>0</v>
      </c>
      <c r="L9" s="144">
        <f>((IF((Assessment!$D$124/2)&gt;(L34*-1),(Assessment!$D$124/2),(Assessment!$D$124+L34))))/Assessment!$D$150</f>
        <v>0</v>
      </c>
      <c r="M9" s="144">
        <f>((IF((Assessment!$D$124/2)&gt;(M34*-1),(Assessment!$D$124/2),(Assessment!$D$124+M34))))/Assessment!$D$150</f>
        <v>0</v>
      </c>
      <c r="N9" s="144">
        <f>((IF((Assessment!$D$124/2)&gt;(N34*-1),(Assessment!$D$124/2),(Assessment!$D$124+N34))))/Assessment!$D$150</f>
        <v>0</v>
      </c>
      <c r="O9" s="144">
        <f>((IF((Assessment!$D$124/2)&gt;(O34*-1),(Assessment!$D$124/2),(Assessment!$D$124+O34))))/Assessment!$D$150</f>
        <v>0</v>
      </c>
      <c r="P9" s="144">
        <f>((IF((Assessment!$D$124/2)&gt;(P34*-1),(Assessment!$D$124/2),(Assessment!$D$124+P34))))/Assessment!$D$150</f>
        <v>0</v>
      </c>
      <c r="Q9" s="144">
        <f>((IF((Assessment!$D$124/2)&gt;(Q34*-1),(Assessment!$D$124/2),(Assessment!$D$124+Q34))))/Assessment!$D$150</f>
        <v>0</v>
      </c>
      <c r="R9" s="144">
        <f>((IF((Assessment!$D$124/2)&gt;(R34*-1),(Assessment!$D$124/2),(Assessment!$D$124+R34))))/Assessment!$D$150</f>
        <v>0</v>
      </c>
      <c r="S9" s="144">
        <f>((IF((Assessment!$D$124/2)&gt;(S34*-1),(Assessment!$D$124/2),(Assessment!$D$124+S34))))/Assessment!$D$150</f>
        <v>0</v>
      </c>
      <c r="T9" s="144">
        <f>((IF((Assessment!$D$124/2)&gt;(T34*-1),(Assessment!$D$124/2),(Assessment!$D$124+T34))))/Assessment!$D$150</f>
        <v>0</v>
      </c>
      <c r="U9" s="144">
        <f>((IF((Assessment!$D$124/2)&gt;(U34*-1),(Assessment!$D$124/2),(Assessment!$D$124+U34))))/Assessment!$D$150</f>
        <v>0</v>
      </c>
      <c r="V9" s="144">
        <f>((IF((Assessment!$D$124/2)&gt;(V34*-1),(Assessment!$D$124/2),(Assessment!$D$124+V34))))/Assessment!$D$150</f>
        <v>0</v>
      </c>
      <c r="W9" s="144">
        <f>((IF((Assessment!$D$124/2)&gt;(W34*-1),(Assessment!$D$124/2),(Assessment!$D$124+W34))))/Assessment!$D$150</f>
        <v>0</v>
      </c>
      <c r="X9" s="144">
        <f>((IF((Assessment!$D$124/2)&gt;(X34*-1),(Assessment!$D$124/2),(Assessment!$D$124+X34))))/Assessment!$D$150</f>
        <v>0</v>
      </c>
      <c r="Y9" s="144">
        <f>((IF((Assessment!$D$124/2)&gt;(Y34*-1),(Assessment!$D$124/2),(Assessment!$D$124+Y34))))/Assessment!$D$150</f>
        <v>0</v>
      </c>
      <c r="Z9" s="144">
        <f>((IF((Assessment!$D$124/2)&gt;(Z34*-1),(Assessment!$D$124/2),(Assessment!$D$124+Z34))))/Assessment!$D$150</f>
        <v>0</v>
      </c>
      <c r="AA9" s="144">
        <f>((IF((Assessment!$D$124/2)&gt;(AA34*-1),(Assessment!$D$124/2),(Assessment!$D$124+AA34))))/Assessment!$D$150</f>
        <v>0</v>
      </c>
      <c r="AB9" s="144">
        <f>((IF((Assessment!$D$124/2)&gt;(AB34*-1),(Assessment!$D$124/2),(Assessment!$D$124+AB34))))/Assessment!$D$150</f>
        <v>0</v>
      </c>
      <c r="AC9" s="144">
        <f>((IF((Assessment!$D$124/2)&gt;(AC34*-1),(Assessment!$D$124/2),(Assessment!$D$124+AC34))))/Assessment!$D$150</f>
        <v>0</v>
      </c>
      <c r="AD9" s="184">
        <f>((IF((Assessment!$D$124/2)&gt;(AD34*-1),(Assessment!$D$124/2),(Assessment!$D$124+AD34))))/Assessment!$D$150</f>
        <v>0</v>
      </c>
      <c r="AE9" s="144">
        <f>((IF((Assessment!$D$124/2)&gt;(AE34*-1),(Assessment!$D$124/2),(Assessment!$D$124+AE34))))/Assessment!$D$150</f>
        <v>0</v>
      </c>
      <c r="AF9" s="144">
        <f>((IF((Assessment!$D$124/2)&gt;(AF34*-1),(Assessment!$D$124/2),(Assessment!$D$124+AF34))))/Assessment!$D$150</f>
        <v>0</v>
      </c>
      <c r="AG9" s="144">
        <f>((IF((Assessment!$D$124/2)&gt;(AG34*-1),(Assessment!$D$124/2),(Assessment!$D$124+AG34))))/Assessment!$D$150</f>
        <v>0</v>
      </c>
      <c r="AH9" s="144">
        <f>((IF((Assessment!$D$124/2)&gt;(AH34*-1),(Assessment!$D$124/2),(Assessment!$D$124+AH34))))/Assessment!$D$150</f>
        <v>0</v>
      </c>
      <c r="AI9" s="144">
        <f>((IF((Assessment!$D$124/2)&gt;(AI34*-1),(Assessment!$D$124/2),(Assessment!$D$124+AI34))))/Assessment!$D$150</f>
        <v>0</v>
      </c>
      <c r="AJ9" s="144">
        <f>((IF((Assessment!$D$124/2)&gt;(AJ34*-1),(Assessment!$D$124/2),(Assessment!$D$124+AJ34))))/Assessment!$D$150</f>
        <v>0</v>
      </c>
      <c r="AK9" s="144">
        <f>((IF((Assessment!$D$124/2)&gt;(AK34*-1),(Assessment!$D$124/2),(Assessment!$D$124+AK34))))/Assessment!$D$150</f>
        <v>0</v>
      </c>
      <c r="AL9" s="144">
        <f>((IF((Assessment!$D$124/2)&gt;(AL34*-1),(Assessment!$D$124/2),(Assessment!$D$124+AL34))))/Assessment!$D$150</f>
        <v>0</v>
      </c>
      <c r="AM9" s="144">
        <f>((IF((Assessment!$D$124/2)&gt;(AM34*-1),(Assessment!$D$124/2),(Assessment!$D$124+AM34))))/Assessment!$D$150</f>
        <v>0</v>
      </c>
      <c r="AN9" s="144">
        <f>((IF((Assessment!$D$124/2)&gt;(AN34*-1),(Assessment!$D$124/2),(Assessment!$D$124+AN34))))/Assessment!$D$150</f>
        <v>0</v>
      </c>
      <c r="AO9" s="144">
        <f>((IF((Assessment!$D$124/2)&gt;(AO34*-1),(Assessment!$D$124/2),(Assessment!$D$124+AO34))))/Assessment!$D$150</f>
        <v>0</v>
      </c>
      <c r="AP9" s="144">
        <f>((IF((Assessment!$D$124/2)&gt;(AP34*-1),(Assessment!$D$124/2),(Assessment!$D$124+AP34))))/Assessment!$D$150</f>
        <v>0</v>
      </c>
      <c r="AQ9" s="144">
        <f>((IF((Assessment!$D$124/2)&gt;(AQ34*-1),(Assessment!$D$124/2),(Assessment!$D$124+AQ34))))/Assessment!$D$150</f>
        <v>0</v>
      </c>
      <c r="AR9" s="144">
        <f>((IF((Assessment!$D$124/2)&gt;(AR34*-1),(Assessment!$D$124/2),(Assessment!$D$124+AR34))))/Assessment!$D$150</f>
        <v>0</v>
      </c>
      <c r="AS9" s="144">
        <f>((IF((Assessment!$D$124/2)&gt;(AS34*-1),(Assessment!$D$124/2),(Assessment!$D$124+AS34))))/Assessment!$D$150</f>
        <v>0</v>
      </c>
      <c r="AT9" s="144">
        <f>((IF((Assessment!$D$124/2)&gt;(AT34*-1),(Assessment!$D$124/2),(Assessment!$D$124+AT34))))/Assessment!$D$150</f>
        <v>0</v>
      </c>
      <c r="AU9" s="144">
        <f>((IF((Assessment!$D$124/2)&gt;(AU34*-1),(Assessment!$D$124/2),(Assessment!$D$124+AU34))))/Assessment!$D$150</f>
        <v>0</v>
      </c>
      <c r="AV9" s="144">
        <f>((IF((Assessment!$D$124/2)&gt;(AV34*-1),(Assessment!$D$124/2),(Assessment!$D$124+AV34))))/Assessment!$D$150</f>
        <v>0</v>
      </c>
      <c r="AW9" s="144">
        <f>((IF((Assessment!$D$124/2)&gt;(AW34*-1),(Assessment!$D$124/2),(Assessment!$D$124+AW34))))/Assessment!$D$150</f>
        <v>0</v>
      </c>
      <c r="AX9" s="144">
        <f>((IF((Assessment!$D$124/2)&gt;(AX34*-1),(Assessment!$D$124/2),(Assessment!$D$124+AX34))))/Assessment!$D$150</f>
        <v>0</v>
      </c>
      <c r="AY9" s="144">
        <f>((IF((Assessment!$D$124/2)&gt;(AY34*-1),(Assessment!$D$124/2),(Assessment!$D$124+AY34))))/Assessment!$D$150</f>
        <v>0</v>
      </c>
      <c r="AZ9" s="144">
        <f>((IF((Assessment!$D$124/2)&gt;(AZ34*-1),(Assessment!$D$124/2),(Assessment!$D$124+AZ34))))/Assessment!$D$150</f>
        <v>0</v>
      </c>
      <c r="BA9" s="144">
        <f>((IF((Assessment!$D$124/2)&gt;(BA34*-1),(Assessment!$D$124/2),(Assessment!$D$124+BA34))))/Assessment!$D$150</f>
        <v>0</v>
      </c>
      <c r="BB9" s="144">
        <f>((IF((Assessment!$D$124/2)&gt;(BB34*-1),(Assessment!$D$124/2),(Assessment!$D$124+BB34))))/Assessment!$D$150</f>
        <v>0</v>
      </c>
      <c r="BC9" s="144">
        <f>((IF((Assessment!$D$124/2)&gt;(BC34*-1),(Assessment!$D$124/2),(Assessment!$D$124+BC34))))/Assessment!$D$150</f>
        <v>0</v>
      </c>
      <c r="BD9" s="144">
        <f>((IF((Assessment!$D$124/2)&gt;(BD34*-1),(Assessment!$D$124/2),(Assessment!$D$124+BD34))))/Assessment!$D$150</f>
        <v>0</v>
      </c>
      <c r="BE9" s="144">
        <f>((IF((Assessment!$D$124/2)&gt;(BE34*-1),(Assessment!$D$124/2),(Assessment!$D$124+BE34))))/Assessment!$D$150</f>
        <v>0</v>
      </c>
      <c r="BF9" s="144">
        <f>((IF((Assessment!$D$124/2)&gt;(BF34*-1),(Assessment!$D$124/2),(Assessment!$D$124+BF34))))/Assessment!$D$150</f>
        <v>0</v>
      </c>
      <c r="BG9" s="144">
        <f>((IF((Assessment!$D$124/2)&gt;(BG34*-1),(Assessment!$D$124/2),(Assessment!$D$124+BG34))))/Assessment!$D$150</f>
        <v>0</v>
      </c>
      <c r="BH9" s="144">
        <f>((IF((Assessment!$D$124/2)&gt;(BH34*-1),(Assessment!$D$124/2),(Assessment!$D$124+BH34))))/Assessment!$D$150</f>
        <v>0</v>
      </c>
      <c r="BI9" s="144">
        <f>((IF((Assessment!$D$124/2)&gt;(BI34*-1),(Assessment!$D$124/2),(Assessment!$D$124+BI34))))/Assessment!$D$150</f>
        <v>0</v>
      </c>
      <c r="BJ9" s="144">
        <f>((IF((Assessment!$D$124/2)&gt;(BJ34*-1),(Assessment!$D$124/2),(Assessment!$D$124+BJ34))))/Assessment!$D$150</f>
        <v>0</v>
      </c>
      <c r="BK9" s="144">
        <f>((IF((Assessment!$D$124/2)&gt;(BK34*-1),(Assessment!$D$124/2),(Assessment!$D$124+BK34))))/Assessment!$D$150</f>
        <v>0</v>
      </c>
      <c r="BL9" s="144">
        <f>((IF((Assessment!$D$124/2)&gt;(BL34*-1),(Assessment!$D$124/2),(Assessment!$D$124+BL34))))/Assessment!$D$150</f>
        <v>0</v>
      </c>
      <c r="BM9" s="144">
        <f>((IF((Assessment!$D$124/2)&gt;(BM34*-1),(Assessment!$D$124/2),(Assessment!$D$124+BM34))))/Assessment!$D$150</f>
        <v>0</v>
      </c>
      <c r="BN9" s="144">
        <f>((IF((Assessment!$D$124/2)&gt;(BN34*-1),(Assessment!$D$124/2),(Assessment!$D$124+BN34))))/Assessment!$D$150</f>
        <v>0</v>
      </c>
      <c r="BO9" s="144">
        <f>((IF((Assessment!$D$124/2)&gt;(BO34*-1),(Assessment!$D$124/2),(Assessment!$D$124+BO34))))/Assessment!$D$150</f>
        <v>0</v>
      </c>
      <c r="BP9" s="144">
        <f>((IF((Assessment!$D$124/2)&gt;(BP34*-1),(Assessment!$D$124/2),(Assessment!$D$124+BP34))))/Assessment!$D$150</f>
        <v>0</v>
      </c>
      <c r="BQ9" s="144">
        <f>((IF((Assessment!$D$124/2)&gt;(BQ34*-1),(Assessment!$D$124/2),(Assessment!$D$124+BQ34))))/Assessment!$D$150</f>
        <v>0</v>
      </c>
      <c r="BR9" s="144">
        <f>((IF((Assessment!$D$124/2)&gt;(BR34*-1),(Assessment!$D$124/2),(Assessment!$D$124+BR34))))/Assessment!$D$150</f>
        <v>0</v>
      </c>
      <c r="BS9" s="144">
        <f>((IF((Assessment!$D$124/2)&gt;(BS34*-1),(Assessment!$D$124/2),(Assessment!$D$124+BS34))))/Assessment!$D$150</f>
        <v>0</v>
      </c>
      <c r="BT9" s="144">
        <f>((IF((Assessment!$D$124/2)&gt;(BT34*-1),(Assessment!$D$124/2),(Assessment!$D$124+BT34))))/Assessment!$D$150</f>
        <v>0</v>
      </c>
      <c r="BU9" s="144">
        <f>((IF((Assessment!$D$124/2)&gt;(BU34*-1),(Assessment!$D$124/2),(Assessment!$D$124+BU34))))/Assessment!$D$150</f>
        <v>0</v>
      </c>
      <c r="BV9" s="144">
        <f>((IF((Assessment!$D$124/2)&gt;(BV34*-1),(Assessment!$D$124/2),(Assessment!$D$124+BV34))))/Assessment!$D$150</f>
        <v>0</v>
      </c>
      <c r="BW9" s="144">
        <f>((IF((Assessment!$D$124/2)&gt;(BW34*-1),(Assessment!$D$124/2),(Assessment!$D$124+BW34))))/Assessment!$D$150</f>
        <v>0</v>
      </c>
      <c r="BX9" s="144">
        <f>((IF((Assessment!$D$124/2)&gt;(BX34*-1),(Assessment!$D$124/2),(Assessment!$D$124+BX34))))/Assessment!$D$150</f>
        <v>0</v>
      </c>
      <c r="BY9" s="144">
        <f>((IF((Assessment!$D$124/2)&gt;(BY34*-1),(Assessment!$D$124/2),(Assessment!$D$124+BY34))))/Assessment!$D$150</f>
        <v>0</v>
      </c>
      <c r="BZ9" s="144">
        <f>((IF((Assessment!$D$124/2)&gt;(BZ34*-1),(Assessment!$D$124/2),(Assessment!$D$124+BZ34))))/Assessment!$D$150</f>
        <v>0</v>
      </c>
      <c r="CA9" s="144">
        <f>((IF((Assessment!$D$124/2)&gt;(CA34*-1),(Assessment!$D$124/2),(Assessment!$D$124+CA34))))/Assessment!$D$150</f>
        <v>0</v>
      </c>
      <c r="CB9" s="144">
        <f>((IF((Assessment!$D$124/2)&gt;(CB34*-1),(Assessment!$D$124/2),(Assessment!$D$124+CB34))))/Assessment!$D$150</f>
        <v>0</v>
      </c>
      <c r="CC9" s="144">
        <f>((IF((Assessment!$D$124/2)&gt;(CC34*-1),(Assessment!$D$124/2),(Assessment!$D$124+CC34))))/Assessment!$D$150</f>
        <v>0</v>
      </c>
      <c r="CD9" s="144">
        <f>((IF((Assessment!$D$124/2)&gt;(CD34*-1),(Assessment!$D$124/2),(Assessment!$D$124+CD34))))/Assessment!$D$150</f>
        <v>0</v>
      </c>
      <c r="CE9" s="144">
        <f>((IF((Assessment!$D$124/2)&gt;(CE34*-1),(Assessment!$D$124/2),(Assessment!$D$124+CE34))))/Assessment!$D$150</f>
        <v>0</v>
      </c>
      <c r="CF9" s="144">
        <f>((IF((Assessment!$D$124/2)&gt;(CF34*-1),(Assessment!$D$124/2),(Assessment!$D$124+CF34))))/Assessment!$D$150</f>
        <v>0</v>
      </c>
      <c r="CG9" s="144">
        <f>((IF((Assessment!$D$124/2)&gt;(CG34*-1),(Assessment!$D$124/2),(Assessment!$D$124+CG34))))/Assessment!$D$150</f>
        <v>0</v>
      </c>
      <c r="CH9" s="144">
        <f>((IF((Assessment!$D$124/2)&gt;(CH34*-1),(Assessment!$D$124/2),(Assessment!$D$124+CH34))))/Assessment!$D$150</f>
        <v>0</v>
      </c>
      <c r="CI9" s="144">
        <f>((IF((Assessment!$D$124/2)&gt;(CI34*-1),(Assessment!$D$124/2),(Assessment!$D$124+CI34))))/Assessment!$D$150</f>
        <v>0</v>
      </c>
      <c r="CJ9" s="144">
        <f>((IF((Assessment!$D$124/2)&gt;(CJ34*-1),(Assessment!$D$124/2),(Assessment!$D$124+CJ34))))/Assessment!$D$150</f>
        <v>0</v>
      </c>
      <c r="CK9" s="144">
        <f>((IF((Assessment!$D$124/2)&gt;(CK34*-1),(Assessment!$D$124/2),(Assessment!$D$124+CK34))))/Assessment!$D$150</f>
        <v>0</v>
      </c>
      <c r="CL9" s="144">
        <f>((IF((Assessment!$D$124/2)&gt;(CL34*-1),(Assessment!$D$124/2),(Assessment!$D$124+CL34))))/Assessment!$D$150</f>
        <v>0</v>
      </c>
      <c r="CM9" s="144">
        <f>((IF((Assessment!$D$124/2)&gt;(CM34*-1),(Assessment!$D$124/2),(Assessment!$D$124+CM34))))/Assessment!$D$150</f>
        <v>0</v>
      </c>
      <c r="CN9" s="144">
        <f>((IF((Assessment!$D$124/2)&gt;(CN34*-1),(Assessment!$D$124/2),(Assessment!$D$124+CN34))))/Assessment!$D$150</f>
        <v>0</v>
      </c>
      <c r="CO9" s="144">
        <f>((IF((Assessment!$D$124/2)&gt;(CO34*-1),(Assessment!$D$124/2),(Assessment!$D$124+CO34))))/Assessment!$D$150</f>
        <v>0</v>
      </c>
      <c r="CP9" s="144">
        <f>((IF((Assessment!$D$124/2)&gt;(CP34*-1),(Assessment!$D$124/2),(Assessment!$D$124+CP34))))/Assessment!$D$150</f>
        <v>0</v>
      </c>
      <c r="CQ9" s="144">
        <f>((IF((Assessment!$D$124/2)&gt;(CQ34*-1),(Assessment!$D$124/2),(Assessment!$D$124+CQ34))))/Assessment!$D$150</f>
        <v>0</v>
      </c>
      <c r="CR9" s="144">
        <f>((IF((Assessment!$D$124/2)&gt;(CR34*-1),(Assessment!$D$124/2),(Assessment!$D$124+CR34))))/Assessment!$D$150</f>
        <v>0</v>
      </c>
      <c r="CS9" s="144">
        <f>((IF((Assessment!$D$124/2)&gt;(CS34*-1),(Assessment!$D$124/2),(Assessment!$D$124+CS34))))/Assessment!$D$150</f>
        <v>0</v>
      </c>
      <c r="CT9" s="144">
        <f>((IF((Assessment!$D$124/2)&gt;(CT34*-1),(Assessment!$D$124/2),(Assessment!$D$124+CT34))))/Assessment!$D$150</f>
        <v>0</v>
      </c>
      <c r="CU9" s="144">
        <f>((IF((Assessment!$D$124/2)&gt;(CU34*-1),(Assessment!$D$124/2),(Assessment!$D$124+CU34))))/Assessment!$D$150</f>
        <v>0</v>
      </c>
      <c r="CV9" s="144">
        <f>((IF((Assessment!$D$124/2)&gt;(CV34*-1),(Assessment!$D$124/2),(Assessment!$D$124+CV34))))/Assessment!$D$150</f>
        <v>0</v>
      </c>
      <c r="CW9" s="144">
        <f>((IF((Assessment!$D$124/2)&gt;(CW34*-1),(Assessment!$D$124/2),(Assessment!$D$124+CW34))))/Assessment!$D$150</f>
        <v>0</v>
      </c>
      <c r="CX9" s="144">
        <f>((IF((Assessment!$D$124/2)&gt;(CX34*-1),(Assessment!$D$124/2),(Assessment!$D$124+CX34))))/Assessment!$D$150</f>
        <v>0</v>
      </c>
      <c r="CY9" s="144">
        <f>((IF((Assessment!$D$124/2)&gt;(CY34*-1),(Assessment!$D$124/2),(Assessment!$D$124+CY34))))/Assessment!$D$150</f>
        <v>0</v>
      </c>
      <c r="CZ9" s="144">
        <f>((IF((Assessment!$D$124/2)&gt;(CZ34*-1),(Assessment!$D$124/2),(Assessment!$D$124+CZ34))))/Assessment!$D$150</f>
        <v>0</v>
      </c>
      <c r="DA9" s="144">
        <f>((IF((Assessment!$D$124/2)&gt;(DA34*-1),(Assessment!$D$124/2),(Assessment!$D$124+DA34))))/Assessment!$D$150</f>
        <v>0</v>
      </c>
    </row>
    <row r="10" spans="1:105" ht="25.5" hidden="1" x14ac:dyDescent="0.2">
      <c r="A10" s="311"/>
      <c r="B10" s="305" t="s">
        <v>236</v>
      </c>
      <c r="C10" s="309" t="str">
        <f>Assessment!C220</f>
        <v>--</v>
      </c>
      <c r="D10" s="130" t="s">
        <v>162</v>
      </c>
      <c r="E10" s="132">
        <v>0.99999999999999989</v>
      </c>
      <c r="F10" s="132">
        <v>0.99999999999999989</v>
      </c>
      <c r="G10" s="129">
        <v>0.54853273137697522</v>
      </c>
      <c r="H10" s="132">
        <v>0.39992820811519225</v>
      </c>
      <c r="I10" s="132">
        <v>0.32701298604810758</v>
      </c>
      <c r="J10" s="183">
        <v>0.28434471475001144</v>
      </c>
      <c r="K10" s="132">
        <v>0.25677017068089891</v>
      </c>
      <c r="L10" s="132">
        <v>0.23779079424527477</v>
      </c>
      <c r="M10" s="132">
        <v>0.22415413919505184</v>
      </c>
      <c r="N10" s="132">
        <v>0.21405105633575719</v>
      </c>
      <c r="O10" s="183">
        <v>0.20639457629760086</v>
      </c>
      <c r="P10" s="132">
        <v>0.20639457629760086</v>
      </c>
      <c r="Q10" s="132">
        <v>0.20639457629760086</v>
      </c>
      <c r="R10" s="132">
        <v>0.20639457629760086</v>
      </c>
      <c r="S10" s="132">
        <v>0.20639457629760086</v>
      </c>
      <c r="T10" s="132">
        <v>0.20639457629760086</v>
      </c>
      <c r="U10" s="132">
        <v>0.20639457629760086</v>
      </c>
      <c r="V10" s="132">
        <v>0.20639457629760086</v>
      </c>
      <c r="W10" s="132">
        <v>0.20639457629760086</v>
      </c>
      <c r="X10" s="132">
        <v>0.20639457629760086</v>
      </c>
      <c r="Y10" s="132">
        <v>0.20639457629760086</v>
      </c>
      <c r="Z10" s="132">
        <v>0.20639457629760086</v>
      </c>
      <c r="AA10" s="132">
        <v>0.20639457629760086</v>
      </c>
      <c r="AB10" s="132">
        <v>0.20639457629760086</v>
      </c>
      <c r="AC10" s="132">
        <v>0.20639457629760086</v>
      </c>
      <c r="AD10" s="183">
        <v>0.20639457629760086</v>
      </c>
      <c r="AE10" s="132">
        <v>0.20639457629760086</v>
      </c>
      <c r="AF10" s="132">
        <v>0.20639457629760086</v>
      </c>
      <c r="AG10" s="132">
        <v>0.20639457629760086</v>
      </c>
      <c r="AH10" s="132">
        <v>0.20639457629760086</v>
      </c>
      <c r="AI10" s="132">
        <v>0.20639457629760086</v>
      </c>
      <c r="AJ10" s="132">
        <v>0.20639457629760086</v>
      </c>
      <c r="AK10" s="132">
        <v>0.20639457629760086</v>
      </c>
      <c r="AL10" s="132">
        <v>0.20639457629760086</v>
      </c>
      <c r="AM10" s="132">
        <v>0.20639457629760086</v>
      </c>
      <c r="AN10" s="132">
        <v>0.20639457629760086</v>
      </c>
      <c r="AO10" s="132">
        <v>0.20639457629760086</v>
      </c>
      <c r="AP10" s="132">
        <v>0.20639457629760086</v>
      </c>
      <c r="AQ10" s="132">
        <v>0.20639457629760086</v>
      </c>
      <c r="AR10" s="132">
        <v>0.20639457629760086</v>
      </c>
      <c r="AS10" s="132">
        <v>0.20639457629760086</v>
      </c>
      <c r="AT10" s="132">
        <v>0.20639457629760086</v>
      </c>
      <c r="AU10" s="132">
        <v>0.20639457629760086</v>
      </c>
      <c r="AV10" s="132">
        <v>0.20639457629760086</v>
      </c>
      <c r="AW10" s="132">
        <v>0.20639457629760086</v>
      </c>
      <c r="AX10" s="132">
        <v>0.20639457629760086</v>
      </c>
      <c r="AY10" s="132">
        <v>0.20639457629760086</v>
      </c>
      <c r="AZ10" s="132">
        <v>0.20639457629760086</v>
      </c>
      <c r="BA10" s="132">
        <v>0.20639457629760086</v>
      </c>
      <c r="BB10" s="132">
        <v>0.20639457629760086</v>
      </c>
      <c r="BC10" s="132">
        <v>0.20639457629760086</v>
      </c>
      <c r="BD10" s="132">
        <v>0.20639457629760086</v>
      </c>
      <c r="BE10" s="132">
        <v>0.20639457629760086</v>
      </c>
      <c r="BF10" s="132">
        <v>0.20639457629760086</v>
      </c>
      <c r="BG10" s="132">
        <v>0.20639457629760086</v>
      </c>
      <c r="BH10" s="132">
        <v>0.20639457629760086</v>
      </c>
      <c r="BI10" s="132">
        <v>0.20639457629760086</v>
      </c>
      <c r="BJ10" s="132">
        <v>0.20639457629760086</v>
      </c>
      <c r="BK10" s="132">
        <v>0.20639457629760086</v>
      </c>
      <c r="BL10" s="132">
        <v>0.20639457629760086</v>
      </c>
      <c r="BM10" s="132">
        <v>0.20639457629760086</v>
      </c>
      <c r="BN10" s="132">
        <v>0.20639457629760086</v>
      </c>
      <c r="BO10" s="132">
        <v>0.20639457629760086</v>
      </c>
      <c r="BP10" s="132">
        <v>0.20639457629760086</v>
      </c>
      <c r="BQ10" s="132">
        <v>0.20639457629760086</v>
      </c>
      <c r="BR10" s="132">
        <v>0.20639457629760086</v>
      </c>
      <c r="BS10" s="132">
        <v>0.20639457629760086</v>
      </c>
      <c r="BT10" s="132">
        <v>0.20639457629760086</v>
      </c>
      <c r="BU10" s="132">
        <v>0.20639457629760086</v>
      </c>
      <c r="BV10" s="132">
        <v>0.20639457629760086</v>
      </c>
      <c r="BW10" s="132">
        <v>0.20639457629760086</v>
      </c>
      <c r="BX10" s="132">
        <v>0.20639457629760086</v>
      </c>
      <c r="BY10" s="132">
        <v>0.20639457629760086</v>
      </c>
      <c r="BZ10" s="132">
        <v>0.20639457629760086</v>
      </c>
      <c r="CA10" s="132">
        <v>0.20639457629760086</v>
      </c>
      <c r="CB10" s="132">
        <v>0.20639457629760086</v>
      </c>
      <c r="CC10" s="132">
        <v>0.20639457629760086</v>
      </c>
      <c r="CD10" s="132">
        <v>0.20639457629760086</v>
      </c>
      <c r="CE10" s="132">
        <v>0.20639457629760086</v>
      </c>
      <c r="CF10" s="132">
        <v>0.20639457629760086</v>
      </c>
      <c r="CG10" s="132">
        <v>0.20639457629760086</v>
      </c>
      <c r="CH10" s="132">
        <v>0.20639457629760086</v>
      </c>
      <c r="CI10" s="132">
        <v>0.20639457629760086</v>
      </c>
      <c r="CJ10" s="132">
        <v>0.20639457629760086</v>
      </c>
      <c r="CK10" s="132">
        <v>0.20639457629760086</v>
      </c>
      <c r="CL10" s="132">
        <v>0.20639457629760086</v>
      </c>
      <c r="CM10" s="132">
        <v>0.20639457629760086</v>
      </c>
      <c r="CN10" s="132">
        <v>0.20639457629760086</v>
      </c>
      <c r="CO10" s="132">
        <v>0.20639457629760086</v>
      </c>
      <c r="CP10" s="132">
        <v>0.20639457629760086</v>
      </c>
      <c r="CQ10" s="132">
        <v>0.20639457629760086</v>
      </c>
      <c r="CR10" s="132">
        <v>0.20639457629760086</v>
      </c>
      <c r="CS10" s="132">
        <v>0.20639457629760086</v>
      </c>
      <c r="CT10" s="132">
        <v>0.20639457629760086</v>
      </c>
      <c r="CU10" s="132">
        <v>0.20639457629760086</v>
      </c>
      <c r="CV10" s="132">
        <v>0.20639457629760086</v>
      </c>
      <c r="CW10" s="132">
        <v>0.20639457629760086</v>
      </c>
      <c r="CX10" s="132">
        <v>0.20639457629760086</v>
      </c>
      <c r="CY10" s="132">
        <v>0.20639457629760086</v>
      </c>
      <c r="CZ10" s="132">
        <v>0.20639457629760086</v>
      </c>
      <c r="DA10" s="132">
        <v>0.20639457629760086</v>
      </c>
    </row>
    <row r="11" spans="1:105" ht="25.5" hidden="1" x14ac:dyDescent="0.2">
      <c r="A11" s="312"/>
      <c r="B11" s="305"/>
      <c r="C11" s="310"/>
      <c r="D11" s="130" t="s">
        <v>163</v>
      </c>
      <c r="E11" s="132">
        <v>1</v>
      </c>
      <c r="F11" s="132">
        <v>1</v>
      </c>
      <c r="G11" s="128">
        <v>0.52494061757719712</v>
      </c>
      <c r="H11" s="132">
        <v>0.36711239392367773</v>
      </c>
      <c r="I11" s="132">
        <v>0.28859000577535016</v>
      </c>
      <c r="J11" s="183">
        <v>0.24178777862639159</v>
      </c>
      <c r="K11" s="132">
        <v>0.21084332545555282</v>
      </c>
      <c r="L11" s="132">
        <v>0.18895806939465784</v>
      </c>
      <c r="M11" s="132">
        <v>0.17273237672769687</v>
      </c>
      <c r="N11" s="132">
        <v>0.16027726979377493</v>
      </c>
      <c r="O11" s="183">
        <v>0.15045911368891715</v>
      </c>
      <c r="P11" s="132">
        <v>0.15045911368891715</v>
      </c>
      <c r="Q11" s="132">
        <v>0.15045911368891715</v>
      </c>
      <c r="R11" s="132">
        <v>0.15045911368891715</v>
      </c>
      <c r="S11" s="132">
        <v>0.15045911368891715</v>
      </c>
      <c r="T11" s="132">
        <v>0.15045911368891715</v>
      </c>
      <c r="U11" s="132">
        <v>0.15045911368891715</v>
      </c>
      <c r="V11" s="132">
        <v>0.15045911368891715</v>
      </c>
      <c r="W11" s="132">
        <v>0.15045911368891715</v>
      </c>
      <c r="X11" s="132">
        <v>0.15045911368891715</v>
      </c>
      <c r="Y11" s="132">
        <v>0.15045911368891715</v>
      </c>
      <c r="Z11" s="132">
        <v>0.15045911368891715</v>
      </c>
      <c r="AA11" s="132">
        <v>0.15045911368891715</v>
      </c>
      <c r="AB11" s="132">
        <v>0.15045911368891715</v>
      </c>
      <c r="AC11" s="132">
        <v>0.15045911368891715</v>
      </c>
      <c r="AD11" s="183">
        <v>0.15045911368891715</v>
      </c>
      <c r="AE11" s="132">
        <v>0.15045911368891715</v>
      </c>
      <c r="AF11" s="132">
        <v>0.15045911368891715</v>
      </c>
      <c r="AG11" s="132">
        <v>0.15045911368891715</v>
      </c>
      <c r="AH11" s="132">
        <v>0.15045911368891715</v>
      </c>
      <c r="AI11" s="132">
        <v>0.15045911368891715</v>
      </c>
      <c r="AJ11" s="132">
        <v>0.15045911368891715</v>
      </c>
      <c r="AK11" s="132">
        <v>0.15045911368891715</v>
      </c>
      <c r="AL11" s="132">
        <v>0.15045911368891715</v>
      </c>
      <c r="AM11" s="132">
        <v>0.15045911368891715</v>
      </c>
      <c r="AN11" s="132">
        <v>0.15045911368891715</v>
      </c>
      <c r="AO11" s="132">
        <v>0.15045911368891715</v>
      </c>
      <c r="AP11" s="132">
        <v>0.15045911368891715</v>
      </c>
      <c r="AQ11" s="132">
        <v>0.15045911368891715</v>
      </c>
      <c r="AR11" s="132">
        <v>0.15045911368891715</v>
      </c>
      <c r="AS11" s="132">
        <v>0.15045911368891715</v>
      </c>
      <c r="AT11" s="132">
        <v>0.15045911368891715</v>
      </c>
      <c r="AU11" s="132">
        <v>0.15045911368891715</v>
      </c>
      <c r="AV11" s="132">
        <v>0.15045911368891715</v>
      </c>
      <c r="AW11" s="132">
        <v>0.15045911368891715</v>
      </c>
      <c r="AX11" s="132">
        <v>0.15045911368891715</v>
      </c>
      <c r="AY11" s="132">
        <v>0.15045911368891715</v>
      </c>
      <c r="AZ11" s="132">
        <v>0.15045911368891715</v>
      </c>
      <c r="BA11" s="132">
        <v>0.15045911368891715</v>
      </c>
      <c r="BB11" s="132">
        <v>0.15045911368891715</v>
      </c>
      <c r="BC11" s="132">
        <v>0.15045911368891715</v>
      </c>
      <c r="BD11" s="132">
        <v>0.15045911368891715</v>
      </c>
      <c r="BE11" s="132">
        <v>0.15045911368891715</v>
      </c>
      <c r="BF11" s="132">
        <v>0.15045911368891715</v>
      </c>
      <c r="BG11" s="132">
        <v>0.15045911368891715</v>
      </c>
      <c r="BH11" s="132">
        <v>0.15045911368891715</v>
      </c>
      <c r="BI11" s="132">
        <v>0.15045911368891715</v>
      </c>
      <c r="BJ11" s="132">
        <v>0.15045911368891715</v>
      </c>
      <c r="BK11" s="132">
        <v>0.15045911368891715</v>
      </c>
      <c r="BL11" s="132">
        <v>0.15045911368891715</v>
      </c>
      <c r="BM11" s="132">
        <v>0.15045911368891715</v>
      </c>
      <c r="BN11" s="132">
        <v>0.15045911368891715</v>
      </c>
      <c r="BO11" s="132">
        <v>0.15045911368891715</v>
      </c>
      <c r="BP11" s="132">
        <v>0.15045911368891715</v>
      </c>
      <c r="BQ11" s="132">
        <v>0.15045911368891715</v>
      </c>
      <c r="BR11" s="132">
        <v>0.15045911368891715</v>
      </c>
      <c r="BS11" s="132">
        <v>0.15045911368891715</v>
      </c>
      <c r="BT11" s="132">
        <v>0.15045911368891715</v>
      </c>
      <c r="BU11" s="132">
        <v>0.15045911368891715</v>
      </c>
      <c r="BV11" s="132">
        <v>0.15045911368891715</v>
      </c>
      <c r="BW11" s="132">
        <v>0.15045911368891715</v>
      </c>
      <c r="BX11" s="132">
        <v>0.15045911368891715</v>
      </c>
      <c r="BY11" s="132">
        <v>0.15045911368891715</v>
      </c>
      <c r="BZ11" s="132">
        <v>0.15045911368891715</v>
      </c>
      <c r="CA11" s="132">
        <v>0.15045911368891715</v>
      </c>
      <c r="CB11" s="132">
        <v>0.15045911368891715</v>
      </c>
      <c r="CC11" s="132">
        <v>0.15045911368891715</v>
      </c>
      <c r="CD11" s="132">
        <v>0.15045911368891715</v>
      </c>
      <c r="CE11" s="132">
        <v>0.15045911368891715</v>
      </c>
      <c r="CF11" s="132">
        <v>0.15045911368891715</v>
      </c>
      <c r="CG11" s="132">
        <v>0.15045911368891715</v>
      </c>
      <c r="CH11" s="132">
        <v>0.15045911368891715</v>
      </c>
      <c r="CI11" s="132">
        <v>0.15045911368891715</v>
      </c>
      <c r="CJ11" s="132">
        <v>0.15045911368891715</v>
      </c>
      <c r="CK11" s="132">
        <v>0.15045911368891715</v>
      </c>
      <c r="CL11" s="132">
        <v>0.15045911368891715</v>
      </c>
      <c r="CM11" s="132">
        <v>0.15045911368891715</v>
      </c>
      <c r="CN11" s="132">
        <v>0.15045911368891715</v>
      </c>
      <c r="CO11" s="132">
        <v>0.15045911368891715</v>
      </c>
      <c r="CP11" s="132">
        <v>0.15045911368891715</v>
      </c>
      <c r="CQ11" s="132">
        <v>0.15045911368891715</v>
      </c>
      <c r="CR11" s="132">
        <v>0.15045911368891715</v>
      </c>
      <c r="CS11" s="132">
        <v>0.15045911368891715</v>
      </c>
      <c r="CT11" s="132">
        <v>0.15045911368891715</v>
      </c>
      <c r="CU11" s="132">
        <v>0.15045911368891715</v>
      </c>
      <c r="CV11" s="132">
        <v>0.15045911368891715</v>
      </c>
      <c r="CW11" s="132">
        <v>0.15045911368891715</v>
      </c>
      <c r="CX11" s="132">
        <v>0.15045911368891715</v>
      </c>
      <c r="CY11" s="132">
        <v>0.15045911368891715</v>
      </c>
      <c r="CZ11" s="132">
        <v>0.15045911368891715</v>
      </c>
      <c r="DA11" s="132">
        <v>0.15045911368891715</v>
      </c>
    </row>
    <row r="12" spans="1:105" ht="25.5" x14ac:dyDescent="0.2">
      <c r="A12" s="302" t="s">
        <v>261</v>
      </c>
      <c r="B12" s="305" t="s">
        <v>283</v>
      </c>
      <c r="C12" s="304" t="str">
        <f>Assessment!C$222</f>
        <v>--Loft top-up loft insulation (150 to 270mm), 50% client funded-----</v>
      </c>
      <c r="D12" s="130" t="s">
        <v>162</v>
      </c>
      <c r="E12" s="143">
        <v>0.22363517023115828</v>
      </c>
      <c r="F12" s="132">
        <f>(Assessment!$D$193-(Assessment!$D$174-F36))/Assessment!$D$193</f>
        <v>-0.12692282491817783</v>
      </c>
      <c r="G12" s="132">
        <f>(Assessment!$D$193-(Assessment!$D$174-G36))/Assessment!$D$193</f>
        <v>-6.5038102783760238E-2</v>
      </c>
      <c r="H12" s="132">
        <f>(Assessment!$D$193-(Assessment!$D$174-H36))/Assessment!$D$193</f>
        <v>-4.4636546036149992E-2</v>
      </c>
      <c r="I12" s="132">
        <f>(Assessment!$D$193-(Assessment!$D$174-I36))/Assessment!$D$193</f>
        <v>-3.4602993537325204E-2</v>
      </c>
      <c r="J12" s="183">
        <f>(Assessment!$D$193-(Assessment!$D$174-J36))/Assessment!$D$193</f>
        <v>-2.8713593769148168E-2</v>
      </c>
      <c r="K12" s="132">
        <f>(Assessment!$D$193-(Assessment!$D$174-K36))/Assessment!$D$193</f>
        <v>-2.4893104022333631E-2</v>
      </c>
      <c r="L12" s="132">
        <f>(Assessment!$D$193-(Assessment!$D$174-L36))/Assessment!$D$193</f>
        <v>-2.2251657647393439E-2</v>
      </c>
      <c r="M12" s="132">
        <f>(Assessment!$D$193-(Assessment!$D$174-M36))/Assessment!$D$193</f>
        <v>-2.0343962656642577E-2</v>
      </c>
      <c r="N12" s="132">
        <f>(Assessment!$D$193-(Assessment!$D$174-N36))/Assessment!$D$193</f>
        <v>-1.8922371902699693E-2</v>
      </c>
      <c r="O12" s="183">
        <f>(Assessment!$D$193-(Assessment!$D$174-O36))/Assessment!$D$193</f>
        <v>-1.7838112865249174E-2</v>
      </c>
      <c r="P12" s="132">
        <f>(Assessment!$D$193-(Assessment!$D$174-P36))/Assessment!$D$193</f>
        <v>-1.699639204553921E-2</v>
      </c>
      <c r="Q12" s="132">
        <f>(Assessment!$D$193-(Assessment!$D$174-Q36))/Assessment!$D$193</f>
        <v>-1.6333945781890423E-2</v>
      </c>
      <c r="R12" s="132">
        <f>(Assessment!$D$193-(Assessment!$D$174-R36))/Assessment!$D$193</f>
        <v>-1.5806949907085744E-2</v>
      </c>
      <c r="S12" s="132">
        <f>(Assessment!$D$193-(Assessment!$D$174-S36))/Assessment!$D$193</f>
        <v>-1.5384108057175558E-2</v>
      </c>
      <c r="T12" s="132">
        <f>(Assessment!$D$193-(Assessment!$D$174-T36))/Assessment!$D$193</f>
        <v>-1.5042501407843908E-2</v>
      </c>
      <c r="U12" s="132">
        <f>(Assessment!$D$193-(Assessment!$D$174-U36))/Assessment!$D$193</f>
        <v>-1.4764991409646207E-2</v>
      </c>
      <c r="V12" s="132">
        <f>(Assessment!$D$193-(Assessment!$D$174-V36))/Assessment!$D$193</f>
        <v>-1.4538535925571082E-2</v>
      </c>
      <c r="W12" s="132">
        <f>(Assessment!$D$193-(Assessment!$D$174-W36))/Assessment!$D$193</f>
        <v>-1.4353063571583207E-2</v>
      </c>
      <c r="X12" s="132">
        <f>(Assessment!$D$193-(Assessment!$D$174-X36))/Assessment!$D$193</f>
        <v>-1.4200700721660277E-2</v>
      </c>
      <c r="Y12" s="132">
        <f>(Assessment!$D$193-(Assessment!$D$174-Y36))/Assessment!$D$193</f>
        <v>-1.4075227929908469E-2</v>
      </c>
      <c r="Z12" s="132">
        <f>(Assessment!$D$193-(Assessment!$D$174-Z36))/Assessment!$D$193</f>
        <v>-1.3971689524703129E-2</v>
      </c>
      <c r="AA12" s="132">
        <f>(Assessment!$D$193-(Assessment!$D$174-AA36))/Assessment!$D$193</f>
        <v>-1.3886107885290407E-2</v>
      </c>
      <c r="AB12" s="132">
        <f>(Assessment!$D$193-(Assessment!$D$174-AB36))/Assessment!$D$193</f>
        <v>-1.3815270790347479E-2</v>
      </c>
      <c r="AC12" s="132">
        <f>(Assessment!$D$193-(Assessment!$D$174-AC36))/Assessment!$D$193</f>
        <v>-1.3756570765088705E-2</v>
      </c>
      <c r="AD12" s="183">
        <f>(Assessment!$D$193-(Assessment!$D$174-AD36))/Assessment!$D$193</f>
        <v>-1.3707882088021817E-2</v>
      </c>
      <c r="AE12" s="132">
        <f>(Assessment!$D$193-(Assessment!$D$174-AE36))/Assessment!$D$193</f>
        <v>-1.3667465515361766E-2</v>
      </c>
      <c r="AF12" s="132">
        <f>(Assessment!$D$193-(Assessment!$D$174-AF36))/Assessment!$D$193</f>
        <v>-1.3633893708307301E-2</v>
      </c>
      <c r="AG12" s="132">
        <f>(Assessment!$D$193-(Assessment!$D$174-AG36))/Assessment!$D$193</f>
        <v>-1.3605992332508388E-2</v>
      </c>
      <c r="AH12" s="132">
        <f>(Assessment!$D$193-(Assessment!$D$174-AH36))/Assessment!$D$193</f>
        <v>-1.3582793166689094E-2</v>
      </c>
      <c r="AI12" s="132">
        <f>(Assessment!$D$193-(Assessment!$D$174-AI36))/Assessment!$D$193</f>
        <v>-1.3563496515025916E-2</v>
      </c>
      <c r="AJ12" s="132">
        <f>(Assessment!$D$193-(Assessment!$D$174-AJ36))/Assessment!$D$193</f>
        <v>-1.354744089851756E-2</v>
      </c>
      <c r="AK12" s="132">
        <f>(Assessment!$D$193-(Assessment!$D$174-AK36))/Assessment!$D$193</f>
        <v>-1.3534078491219693E-2</v>
      </c>
      <c r="AL12" s="132">
        <f>(Assessment!$D$193-(Assessment!$D$174-AL36))/Assessment!$D$193</f>
        <v>-1.352295512568984E-2</v>
      </c>
      <c r="AM12" s="132">
        <f>(Assessment!$D$193-(Assessment!$D$174-AM36))/Assessment!$D$193</f>
        <v>-1.3513693957289704E-2</v>
      </c>
      <c r="AN12" s="132">
        <f>(Assessment!$D$193-(Assessment!$D$174-AN36))/Assessment!$D$193</f>
        <v>-1.3505982075722841E-2</v>
      </c>
      <c r="AO12" s="132">
        <f>(Assessment!$D$193-(Assessment!$D$174-AO36))/Assessment!$D$193</f>
        <v>-1.3499559502780719E-2</v>
      </c>
      <c r="AP12" s="132">
        <f>(Assessment!$D$193-(Assessment!$D$174-AP36))/Assessment!$D$193</f>
        <v>-1.3494210130611565E-2</v>
      </c>
      <c r="AQ12" s="132">
        <f>(Assessment!$D$193-(Assessment!$D$174-AQ36))/Assessment!$D$193</f>
        <v>-1.3489754244060842E-2</v>
      </c>
      <c r="AR12" s="132">
        <f>(Assessment!$D$193-(Assessment!$D$174-AR36))/Assessment!$D$193</f>
        <v>-1.3486042340300781E-2</v>
      </c>
      <c r="AS12" s="132">
        <f>(Assessment!$D$193-(Assessment!$D$174-AS36))/Assessment!$D$193</f>
        <v>-1.348295001381331E-2</v>
      </c>
      <c r="AT12" s="132">
        <f>(Assessment!$D$193-(Assessment!$D$174-AT36))/Assessment!$D$193</f>
        <v>-1.348037371831232E-2</v>
      </c>
      <c r="AU12" s="132">
        <f>(Assessment!$D$193-(Assessment!$D$174-AU36))/Assessment!$D$193</f>
        <v>-1.3478227251934444E-2</v>
      </c>
      <c r="AV12" s="132">
        <f>(Assessment!$D$193-(Assessment!$D$174-AV36))/Assessment!$D$193</f>
        <v>-1.3476438839960844E-2</v>
      </c>
      <c r="AW12" s="132">
        <f>(Assessment!$D$193-(Assessment!$D$174-AW36))/Assessment!$D$193</f>
        <v>-1.3474948711881532E-2</v>
      </c>
      <c r="AX12" s="132">
        <f>(Assessment!$D$193-(Assessment!$D$174-AX36))/Assessment!$D$193</f>
        <v>-1.3473707087918932E-2</v>
      </c>
      <c r="AY12" s="132">
        <f>(Assessment!$D$193-(Assessment!$D$174-AY36))/Assessment!$D$193</f>
        <v>-1.3472672505041659E-2</v>
      </c>
      <c r="AZ12" s="132">
        <f>(Assessment!$D$193-(Assessment!$D$174-AZ36))/Assessment!$D$193</f>
        <v>-1.3471810424688646E-2</v>
      </c>
      <c r="BA12" s="132">
        <f>(Assessment!$D$193-(Assessment!$D$174-BA36))/Assessment!$D$193</f>
        <v>-1.3471092074419344E-2</v>
      </c>
      <c r="BB12" s="132">
        <f>(Assessment!$D$193-(Assessment!$D$174-BB36))/Assessment!$D$193</f>
        <v>-1.3470493483931501E-2</v>
      </c>
      <c r="BC12" s="132">
        <f>(Assessment!$D$193-(Assessment!$D$174-BC36))/Assessment!$D$193</f>
        <v>-1.3469994682645377E-2</v>
      </c>
      <c r="BD12" s="132">
        <f>(Assessment!$D$193-(Assessment!$D$174-BD36))/Assessment!$D$193</f>
        <v>-1.3469579031656031E-2</v>
      </c>
      <c r="BE12" s="132">
        <f>(Assessment!$D$193-(Assessment!$D$174-BE36))/Assessment!$D$193</f>
        <v>-1.3469232667462493E-2</v>
      </c>
      <c r="BF12" s="132">
        <f>(Assessment!$D$193-(Assessment!$D$174-BF36))/Assessment!$D$193</f>
        <v>-1.3468944038711074E-2</v>
      </c>
      <c r="BG12" s="132">
        <f>(Assessment!$D$193-(Assessment!$D$174-BG36))/Assessment!$D$193</f>
        <v>-1.3468703520360167E-2</v>
      </c>
      <c r="BH12" s="132">
        <f>(Assessment!$D$193-(Assessment!$D$174-BH36))/Assessment!$D$193</f>
        <v>-1.3468503092295673E-2</v>
      </c>
      <c r="BI12" s="132">
        <f>(Assessment!$D$193-(Assessment!$D$174-BI36))/Assessment!$D$193</f>
        <v>-1.3468336071613156E-2</v>
      </c>
      <c r="BJ12" s="132">
        <f>(Assessment!$D$193-(Assessment!$D$174-BJ36))/Assessment!$D$193</f>
        <v>-1.34681968895891E-2</v>
      </c>
      <c r="BK12" s="132">
        <f>(Assessment!$D$193-(Assessment!$D$174-BK36))/Assessment!$D$193</f>
        <v>-1.3468080905873363E-2</v>
      </c>
      <c r="BL12" s="132">
        <f>(Assessment!$D$193-(Assessment!$D$174-BL36))/Assessment!$D$193</f>
        <v>-1.3467984253682539E-2</v>
      </c>
      <c r="BM12" s="132">
        <f>(Assessment!$D$193-(Assessment!$D$174-BM36))/Assessment!$D$193</f>
        <v>-1.3467903710819127E-2</v>
      </c>
      <c r="BN12" s="132">
        <f>(Assessment!$D$193-(Assessment!$D$174-BN36))/Assessment!$D$193</f>
        <v>-1.3467836592203183E-2</v>
      </c>
      <c r="BO12" s="132">
        <f>(Assessment!$D$193-(Assessment!$D$174-BO36))/Assessment!$D$193</f>
        <v>-1.3467780660326511E-2</v>
      </c>
      <c r="BP12" s="132">
        <f>(Assessment!$D$193-(Assessment!$D$174-BP36))/Assessment!$D$193</f>
        <v>-1.346773405063984E-2</v>
      </c>
      <c r="BQ12" s="132">
        <f>(Assessment!$D$193-(Assessment!$D$174-BQ36))/Assessment!$D$193</f>
        <v>-1.3467695209380593E-2</v>
      </c>
      <c r="BR12" s="132">
        <f>(Assessment!$D$193-(Assessment!$D$174-BR36))/Assessment!$D$193</f>
        <v>-1.3467662841766008E-2</v>
      </c>
      <c r="BS12" s="132">
        <f>(Assessment!$D$193-(Assessment!$D$174-BS36))/Assessment!$D$193</f>
        <v>-1.3467635868824487E-2</v>
      </c>
      <c r="BT12" s="132">
        <f>(Assessment!$D$193-(Assessment!$D$174-BT36))/Assessment!$D$193</f>
        <v>-1.3467613391422271E-2</v>
      </c>
      <c r="BU12" s="132">
        <f>(Assessment!$D$193-(Assessment!$D$174-BU36))/Assessment!$D$193</f>
        <v>-1.3467594660287645E-2</v>
      </c>
      <c r="BV12" s="132">
        <f>(Assessment!$D$193-(Assessment!$D$174-BV36))/Assessment!$D$193</f>
        <v>-1.3467579051032559E-2</v>
      </c>
      <c r="BW12" s="132">
        <f>(Assessment!$D$193-(Assessment!$D$174-BW36))/Assessment!$D$193</f>
        <v>-1.346756604333631E-2</v>
      </c>
      <c r="BX12" s="132">
        <f>(Assessment!$D$193-(Assessment!$D$174-BX36))/Assessment!$D$193</f>
        <v>-1.3467555203600845E-2</v>
      </c>
      <c r="BY12" s="132">
        <f>(Assessment!$D$193-(Assessment!$D$174-BY36))/Assessment!$D$193</f>
        <v>-1.3467546170495785E-2</v>
      </c>
      <c r="BZ12" s="132">
        <f>(Assessment!$D$193-(Assessment!$D$174-BZ36))/Assessment!$D$193</f>
        <v>-1.3467538642913822E-2</v>
      </c>
      <c r="CA12" s="132">
        <f>(Assessment!$D$193-(Assessment!$D$174-CA36))/Assessment!$D$193</f>
        <v>-1.3467532369932587E-2</v>
      </c>
      <c r="CB12" s="132">
        <f>(Assessment!$D$193-(Assessment!$D$174-CB36))/Assessment!$D$193</f>
        <v>-1.346752714245098E-2</v>
      </c>
      <c r="CC12" s="132">
        <f>(Assessment!$D$193-(Assessment!$D$174-CC36))/Assessment!$D$193</f>
        <v>-1.3467522786218163E-2</v>
      </c>
      <c r="CD12" s="132">
        <f>(Assessment!$D$193-(Assessment!$D$174-CD36))/Assessment!$D$193</f>
        <v>-1.3467519156025304E-2</v>
      </c>
      <c r="CE12" s="132">
        <f>(Assessment!$D$193-(Assessment!$D$174-CE36))/Assessment!$D$193</f>
        <v>-1.3467516130865595E-2</v>
      </c>
      <c r="CF12" s="132">
        <f>(Assessment!$D$193-(Assessment!$D$174-CF36))/Assessment!$D$193</f>
        <v>-1.3467513609899635E-2</v>
      </c>
      <c r="CG12" s="132">
        <f>(Assessment!$D$193-(Assessment!$D$174-CG36))/Assessment!$D$193</f>
        <v>-1.3467511509095233E-2</v>
      </c>
      <c r="CH12" s="132">
        <f>(Assessment!$D$193-(Assessment!$D$174-CH36))/Assessment!$D$193</f>
        <v>-1.3467509758425105E-2</v>
      </c>
      <c r="CI12" s="132">
        <f>(Assessment!$D$193-(Assessment!$D$174-CI36))/Assessment!$D$193</f>
        <v>-1.3467508299533614E-2</v>
      </c>
      <c r="CJ12" s="132">
        <f>(Assessment!$D$193-(Assessment!$D$174-CJ36))/Assessment!$D$193</f>
        <v>-1.346750708379086E-2</v>
      </c>
      <c r="CK12" s="132">
        <f>(Assessment!$D$193-(Assessment!$D$174-CK36))/Assessment!$D$193</f>
        <v>-1.3467506070671976E-2</v>
      </c>
      <c r="CL12" s="132">
        <f>(Assessment!$D$193-(Assessment!$D$174-CL36))/Assessment!$D$193</f>
        <v>-1.3467505226406187E-2</v>
      </c>
      <c r="CM12" s="132">
        <f>(Assessment!$D$193-(Assessment!$D$174-CM36))/Assessment!$D$193</f>
        <v>-1.3467504522851595E-2</v>
      </c>
      <c r="CN12" s="132">
        <f>(Assessment!$D$193-(Assessment!$D$174-CN36))/Assessment!$D$193</f>
        <v>-1.3467503936555972E-2</v>
      </c>
      <c r="CO12" s="132">
        <f>(Assessment!$D$193-(Assessment!$D$174-CO36))/Assessment!$D$193</f>
        <v>-1.3467503447976391E-2</v>
      </c>
      <c r="CP12" s="132">
        <f>(Assessment!$D$193-(Assessment!$D$174-CP36))/Assessment!$D$193</f>
        <v>-1.3467503040826764E-2</v>
      </c>
      <c r="CQ12" s="132">
        <f>(Assessment!$D$193-(Assessment!$D$174-CQ36))/Assessment!$D$193</f>
        <v>-1.3467502701535409E-2</v>
      </c>
      <c r="CR12" s="132">
        <f>(Assessment!$D$193-(Assessment!$D$174-CR36))/Assessment!$D$193</f>
        <v>-1.3467502418792665E-2</v>
      </c>
      <c r="CS12" s="132">
        <f>(Assessment!$D$193-(Assessment!$D$174-CS36))/Assessment!$D$193</f>
        <v>-1.3467502183173607E-2</v>
      </c>
      <c r="CT12" s="132">
        <f>(Assessment!$D$193-(Assessment!$D$174-CT36))/Assessment!$D$193</f>
        <v>-1.3467501986824421E-2</v>
      </c>
      <c r="CU12" s="132">
        <f>(Assessment!$D$193-(Assessment!$D$174-CU36))/Assessment!$D$193</f>
        <v>-1.34675018232002E-2</v>
      </c>
      <c r="CV12" s="132">
        <f>(Assessment!$D$193-(Assessment!$D$174-CV36))/Assessment!$D$193</f>
        <v>-1.3467501686846657E-2</v>
      </c>
      <c r="CW12" s="132">
        <f>(Assessment!$D$193-(Assessment!$D$174-CW36))/Assessment!$D$193</f>
        <v>-1.3467501573218577E-2</v>
      </c>
      <c r="CX12" s="132">
        <f>(Assessment!$D$193-(Assessment!$D$174-CX36))/Assessment!$D$193</f>
        <v>-1.3467501478528715E-2</v>
      </c>
      <c r="CY12" s="132">
        <f>(Assessment!$D$193-(Assessment!$D$174-CY36))/Assessment!$D$193</f>
        <v>-1.3467501399620342E-2</v>
      </c>
      <c r="CZ12" s="132">
        <f>(Assessment!$D$193-(Assessment!$D$174-CZ36))/Assessment!$D$193</f>
        <v>-1.3467501333863416E-2</v>
      </c>
      <c r="DA12" s="132">
        <f>(Assessment!$D$193-(Assessment!$D$174-DA36))/Assessment!$D$193</f>
        <v>-1.3467501279066055E-2</v>
      </c>
    </row>
    <row r="13" spans="1:105" ht="25.5" x14ac:dyDescent="0.2">
      <c r="A13" s="303"/>
      <c r="B13" s="305"/>
      <c r="C13" s="304"/>
      <c r="D13" s="130" t="s">
        <v>163</v>
      </c>
      <c r="E13" s="132">
        <v>0.55754817856094452</v>
      </c>
      <c r="F13" s="144">
        <f>(((IF((Assessment!$D$178/2)&gt;(Results_!F37*-1),Assessment!$D$178/2,Assessment!$D$178+F37)))/Assessment!$D$204)</f>
        <v>-0.10928962207937676</v>
      </c>
      <c r="G13" s="144">
        <f>(((IF((Assessment!$D$178/2)&gt;(Results_!G37*-1),Assessment!$D$178/2,Assessment!$D$178+G37)))/Assessment!$D$204)</f>
        <v>-5.1178358611691906E-2</v>
      </c>
      <c r="H13" s="144">
        <f>(((IF((Assessment!$D$178/2)&gt;(Results_!H37*-1),Assessment!$D$178/2,Assessment!$D$178+H37)))/Assessment!$D$204)</f>
        <v>-3.1823298614524861E-2</v>
      </c>
      <c r="I13" s="144">
        <f>(((IF((Assessment!$D$178/2)&gt;(Results_!I37*-1),Assessment!$D$178/2,Assessment!$D$178+I37)))/Assessment!$D$204)</f>
        <v>-2.2157275785975327E-2</v>
      </c>
      <c r="J13" s="144">
        <f>(((IF((Assessment!$D$178/2)&gt;(Results_!J37*-1),Assessment!$D$178/2,Assessment!$D$178+J37)))/Assessment!$D$204)</f>
        <v>-1.6366852508028114E-2</v>
      </c>
      <c r="K13" s="144">
        <f>(((IF((Assessment!$D$178/2)&gt;(Results_!K37*-1),Assessment!$D$178/2,Assessment!$D$178+K37)))/Assessment!$D$204)</f>
        <v>-1.2514212631602869E-2</v>
      </c>
      <c r="L13" s="144">
        <f>(((IF((Assessment!$D$178/2)&gt;(Results_!L37*-1),Assessment!$D$178/2,Assessment!$D$178+L37)))/Assessment!$D$204)</f>
        <v>-9.7688604510360634E-3</v>
      </c>
      <c r="M13" s="144">
        <f>(((IF((Assessment!$D$178/2)&gt;(Results_!M37*-1),Assessment!$D$178/2,Assessment!$D$178+M37)))/Assessment!$D$204)</f>
        <v>-7.7155454521735016E-3</v>
      </c>
      <c r="N13" s="144">
        <f>(((IF((Assessment!$D$178/2)&gt;(Results_!N37*-1),Assessment!$D$178/2,Assessment!$D$178+N37)))/Assessment!$D$204)</f>
        <v>-6.1235705656356113E-3</v>
      </c>
      <c r="O13" s="144">
        <f>(((IF((Assessment!$D$178/2)&gt;(Results_!O37*-1),Assessment!$D$178/2,Assessment!$D$178+O37)))/Assessment!$D$204)</f>
        <v>-4.8545154715568997E-3</v>
      </c>
      <c r="P13" s="144">
        <f>(((IF((Assessment!$D$178/2)&gt;(Results_!P37*-1),Assessment!$D$178/2,Assessment!$D$178+P37)))/Assessment!$D$204)</f>
        <v>-3.820292650235473E-3</v>
      </c>
      <c r="Q13" s="144">
        <f>(((IF((Assessment!$D$178/2)&gt;(Results_!Q37*-1),Assessment!$D$178/2,Assessment!$D$178+Q37)))/Assessment!$D$204)</f>
        <v>-2.9621754101626179E-3</v>
      </c>
      <c r="R13" s="144">
        <f>(((IF((Assessment!$D$178/2)&gt;(Results_!R37*-1),Assessment!$D$178/2,Assessment!$D$178+R37)))/Assessment!$D$204)</f>
        <v>-2.2395052901441424E-3</v>
      </c>
      <c r="S13" s="144">
        <f>(((IF((Assessment!$D$178/2)&gt;(Results_!S37*-1),Assessment!$D$178/2,Assessment!$D$178+S37)))/Assessment!$D$204)</f>
        <v>-1.6232391483832799E-3</v>
      </c>
      <c r="T13" s="144">
        <f>(((IF((Assessment!$D$178/2)&gt;(Results_!T37*-1),Assessment!$D$178/2,Assessment!$D$178+T37)))/Assessment!$D$204)</f>
        <v>-1.0920774178585647E-3</v>
      </c>
      <c r="U13" s="144">
        <f>(((IF((Assessment!$D$178/2)&gt;(Results_!U37*-1),Assessment!$D$178/2,Assessment!$D$178+U37)))/Assessment!$D$204)</f>
        <v>-6.3004426765843455E-4</v>
      </c>
      <c r="V13" s="144">
        <f>(((IF((Assessment!$D$178/2)&gt;(Results_!V37*-1),Assessment!$D$178/2,Assessment!$D$178+V37)))/Assessment!$D$204)</f>
        <v>-2.2492182655974114E-4</v>
      </c>
      <c r="W13" s="144">
        <f>(((IF((Assessment!$D$178/2)&gt;(Results_!W37*-1),Assessment!$D$178/2,Assessment!$D$178+W37)))/Assessment!$D$204)</f>
        <v>1.3279366654957012E-4</v>
      </c>
      <c r="X13" s="144">
        <f>(((IF((Assessment!$D$178/2)&gt;(Results_!X37*-1),Assessment!$D$178/2,Assessment!$D$178+X37)))/Assessment!$D$204)</f>
        <v>4.5060607432230622E-4</v>
      </c>
      <c r="Y13" s="144">
        <f>(((IF((Assessment!$D$178/2)&gt;(Results_!Y37*-1),Assessment!$D$178/2,Assessment!$D$178+Y37)))/Assessment!$D$204)</f>
        <v>7.3451930803222819E-4</v>
      </c>
      <c r="Z13" s="144">
        <f>(((IF((Assessment!$D$178/2)&gt;(Results_!Z37*-1),Assessment!$D$178/2,Assessment!$D$178+Z37)))/Assessment!$D$204)</f>
        <v>9.8939443168466891E-4</v>
      </c>
      <c r="AA13" s="144">
        <f>(((IF((Assessment!$D$178/2)&gt;(Results_!AA37*-1),Assessment!$D$178/2,Assessment!$D$178+AA37)))/Assessment!$D$204)</f>
        <v>1.2192093732696276E-3</v>
      </c>
      <c r="AB13" s="144">
        <f>(((IF((Assessment!$D$178/2)&gt;(Results_!AB37*-1),Assessment!$D$178/2,Assessment!$D$178+AB37)))/Assessment!$D$204)</f>
        <v>1.4272508845360207E-3</v>
      </c>
      <c r="AC13" s="144">
        <f>(((IF((Assessment!$D$178/2)&gt;(Results_!AC37*-1),Assessment!$D$178/2,Assessment!$D$178+AC37)))/Assessment!$D$204)</f>
        <v>1.6162585102070465E-3</v>
      </c>
      <c r="AD13" s="184">
        <f>(((IF((Assessment!$D$178/2)&gt;(Results_!AD37*-1),Assessment!$D$178/2,Assessment!$D$178+AD37)))/Assessment!$D$204)</f>
        <v>1.7885340040627786E-3</v>
      </c>
      <c r="AE13" s="144">
        <f>(((IF((Assessment!$D$178/2)&gt;(Results_!AE37*-1),Assessment!$D$178/2,Assessment!$D$178+AE37)))/Assessment!$D$204)</f>
        <v>1.9460254947236857E-3</v>
      </c>
      <c r="AF13" s="144">
        <f>(((IF((Assessment!$D$178/2)&gt;(Results_!AF37*-1),Assessment!$D$178/2,Assessment!$D$178+AF37)))/Assessment!$D$204)</f>
        <v>2.0903929475734992E-3</v>
      </c>
      <c r="AG13" s="144">
        <f>(((IF((Assessment!$D$178/2)&gt;(Results_!AG37*-1),Assessment!$D$178/2,Assessment!$D$178+AG37)))/Assessment!$D$204)</f>
        <v>2.2230595988486112E-3</v>
      </c>
      <c r="AH13" s="144">
        <f>(((IF((Assessment!$D$178/2)&gt;(Results_!AH37*-1),Assessment!$D$178/2,Assessment!$D$178+AH37)))/Assessment!$D$204)</f>
        <v>2.3452527479820339E-3</v>
      </c>
      <c r="AI13" s="144">
        <f>(((IF((Assessment!$D$178/2)&gt;(Results_!AI37*-1),Assessment!$D$178/2,Assessment!$D$178+AI37)))/Assessment!$D$204)</f>
        <v>2.4580363913324905E-3</v>
      </c>
      <c r="AJ13" s="144">
        <f>(((IF((Assessment!$D$178/2)&gt;(Results_!AJ37*-1),Assessment!$D$178/2,Assessment!$D$178+AJ37)))/Assessment!$D$204)</f>
        <v>2.5623375396202968E-3</v>
      </c>
      <c r="AK13" s="144">
        <f>(((IF((Assessment!$D$178/2)&gt;(Results_!AK37*-1),Assessment!$D$178/2,Assessment!$D$178+AK37)))/Assessment!$D$204)</f>
        <v>2.6589676008102726E-3</v>
      </c>
      <c r="AL13" s="144">
        <f>(((IF((Assessment!$D$178/2)&gt;(Results_!AL37*-1),Assessment!$D$178/2,Assessment!$D$178+AL37)))/Assessment!$D$204)</f>
        <v>2.7486398752133087E-3</v>
      </c>
      <c r="AM13" s="144">
        <f>(((IF((Assessment!$D$178/2)&gt;(Results_!AM37*-1),Assessment!$D$178/2,Assessment!$D$178+AM37)))/Assessment!$D$204)</f>
        <v>2.8319839632777173E-3</v>
      </c>
      <c r="AN13" s="144">
        <f>(((IF((Assessment!$D$178/2)&gt;(Results_!AN37*-1),Assessment!$D$178/2,Assessment!$D$178+AN37)))/Assessment!$D$204)</f>
        <v>2.9095577035751856E-3</v>
      </c>
      <c r="AO13" s="144">
        <f>(((IF((Assessment!$D$178/2)&gt;(Results_!AO37*-1),Assessment!$D$178/2,Assessment!$D$178+AO37)))/Assessment!$D$204)</f>
        <v>2.9818571212613843E-3</v>
      </c>
      <c r="AP13" s="144">
        <f>(((IF((Assessment!$D$178/2)&gt;(Results_!AP37*-1),Assessment!$D$178/2,Assessment!$D$178+AP37)))/Assessment!$D$204)</f>
        <v>3.0493247634453182E-3</v>
      </c>
      <c r="AQ13" s="144">
        <f>(((IF((Assessment!$D$178/2)&gt;(Results_!AQ37*-1),Assessment!$D$178/2,Assessment!$D$178+AQ37)))/Assessment!$D$204)</f>
        <v>3.1123567186505966E-3</v>
      </c>
      <c r="AR13" s="144">
        <f>(((IF((Assessment!$D$178/2)&gt;(Results_!AR37*-1),Assessment!$D$178/2,Assessment!$D$178+AR37)))/Assessment!$D$204)</f>
        <v>3.1713085565895196E-3</v>
      </c>
      <c r="AS13" s="144">
        <f>(((IF((Assessment!$D$178/2)&gt;(Results_!AS37*-1),Assessment!$D$178/2,Assessment!$D$178+AS37)))/Assessment!$D$204)</f>
        <v>3.226500377224913E-3</v>
      </c>
      <c r="AT13" s="144">
        <f>(((IF((Assessment!$D$178/2)&gt;(Results_!AT37*-1),Assessment!$D$178/2,Assessment!$D$178+AT37)))/Assessment!$D$204)</f>
        <v>3.2782211212198735E-3</v>
      </c>
      <c r="AU13" s="144">
        <f>(((IF((Assessment!$D$178/2)&gt;(Results_!AU37*-1),Assessment!$D$178/2,Assessment!$D$178+AU37)))/Assessment!$D$204)</f>
        <v>3.3267322649023399E-3</v>
      </c>
      <c r="AV13" s="144">
        <f>(((IF((Assessment!$D$178/2)&gt;(Results_!AV37*-1),Assessment!$D$178/2,Assessment!$D$178+AV37)))/Assessment!$D$204)</f>
        <v>3.3722709999623925E-3</v>
      </c>
      <c r="AW13" s="144">
        <f>(((IF((Assessment!$D$178/2)&gt;(Results_!AW37*-1),Assessment!$D$178/2,Assessment!$D$178+AW37)))/Assessment!$D$204)</f>
        <v>3.4150529798771035E-3</v>
      </c>
      <c r="AX13" s="144">
        <f>(((IF((Assessment!$D$178/2)&gt;(Results_!AX37*-1),Assessment!$D$178/2,Assessment!$D$178+AX37)))/Assessment!$D$204)</f>
        <v>3.4552747004791464E-3</v>
      </c>
      <c r="AY13" s="144">
        <f>(((IF((Assessment!$D$178/2)&gt;(Results_!AY37*-1),Assessment!$D$178/2,Assessment!$D$178+AY37)))/Assessment!$D$204)</f>
        <v>3.4931155703593047E-3</v>
      </c>
      <c r="AZ13" s="144">
        <f>(((IF((Assessment!$D$178/2)&gt;(Results_!AZ37*-1),Assessment!$D$178/2,Assessment!$D$178+AZ37)))/Assessment!$D$204)</f>
        <v>3.5287397173121605E-3</v>
      </c>
      <c r="BA13" s="144">
        <f>(((IF((Assessment!$D$178/2)&gt;(Results_!BA37*-1),Assessment!$D$178/2,Assessment!$D$178+BA37)))/Assessment!$D$204)</f>
        <v>3.5622975693312079E-3</v>
      </c>
      <c r="BB13" s="144">
        <f>(((IF((Assessment!$D$178/2)&gt;(Results_!BB37*-1),Assessment!$D$178/2,Assessment!$D$178+BB37)))/Assessment!$D$204)</f>
        <v>3.5939272423714053E-3</v>
      </c>
      <c r="BC13" s="144">
        <f>(((IF((Assessment!$D$178/2)&gt;(Results_!BC37*-1),Assessment!$D$178/2,Assessment!$D$178+BC37)))/Assessment!$D$204)</f>
        <v>3.6237557619408262E-3</v>
      </c>
      <c r="BD13" s="144">
        <f>(((IF((Assessment!$D$178/2)&gt;(Results_!BD37*-1),Assessment!$D$178/2,Assessment!$D$178+BD37)))/Assessment!$D$204)</f>
        <v>3.6519001413367501E-3</v>
      </c>
      <c r="BE13" s="144">
        <f>(((IF((Assessment!$D$178/2)&gt;(Results_!BE37*-1),Assessment!$D$178/2,Assessment!$D$178+BE37)))/Assessment!$D$204)</f>
        <v>3.678468335830166E-3</v>
      </c>
      <c r="BF13" s="144">
        <f>(((IF((Assessment!$D$178/2)&gt;(Results_!BF37*-1),Assessment!$D$178/2,Assessment!$D$178+BF37)))/Assessment!$D$204)</f>
        <v>3.7035600891875469E-3</v>
      </c>
      <c r="BG13" s="144">
        <f>(((IF((Assessment!$D$178/2)&gt;(Results_!BG37*-1),Assessment!$D$178/2,Assessment!$D$178+BG37)))/Assessment!$D$204)</f>
        <v>3.7272676864896167E-3</v>
      </c>
      <c r="BH13" s="144">
        <f>(((IF((Assessment!$D$178/2)&gt;(Results_!BH37*-1),Assessment!$D$178/2,Assessment!$D$178+BH37)))/Assessment!$D$204)</f>
        <v>3.749676625175208E-3</v>
      </c>
      <c r="BI13" s="144">
        <f>(((IF((Assessment!$D$178/2)&gt;(Results_!BI37*-1),Assessment!$D$178/2,Assessment!$D$178+BI37)))/Assessment!$D$204)</f>
        <v>3.7708662145331546E-3</v>
      </c>
      <c r="BJ13" s="144">
        <f>(((IF((Assessment!$D$178/2)&gt;(Results_!BJ37*-1),Assessment!$D$178/2,Assessment!$D$178+BJ37)))/Assessment!$D$204)</f>
        <v>3.7909101124294453E-3</v>
      </c>
      <c r="BK13" s="144">
        <f>(((IF((Assessment!$D$178/2)&gt;(Results_!BK37*-1),Assessment!$D$178/2,Assessment!$D$178+BK37)))/Assessment!$D$204)</f>
        <v>3.8098768068438467E-3</v>
      </c>
      <c r="BL13" s="144">
        <f>(((IF((Assessment!$D$178/2)&gt;(Results_!BL37*-1),Assessment!$D$178/2,Assessment!$D$178+BL37)))/Assessment!$D$204)</f>
        <v>3.8278300487623244E-3</v>
      </c>
      <c r="BM13" s="144">
        <f>(((IF((Assessment!$D$178/2)&gt;(Results_!BM37*-1),Assessment!$D$178/2,Assessment!$D$178+BM37)))/Assessment!$D$204)</f>
        <v>3.8448292420979547E-3</v>
      </c>
      <c r="BN13" s="144">
        <f>(((IF((Assessment!$D$178/2)&gt;(Results_!BN37*-1),Assessment!$D$178/2,Assessment!$D$178+BN37)))/Assessment!$D$204)</f>
        <v>3.8609297955682952E-3</v>
      </c>
      <c r="BO13" s="144">
        <f>(((IF((Assessment!$D$178/2)&gt;(Results_!BO37*-1),Assessment!$D$178/2,Assessment!$D$178+BO37)))/Assessment!$D$204)</f>
        <v>3.87618344082064E-3</v>
      </c>
      <c r="BP13" s="144">
        <f>(((IF((Assessment!$D$178/2)&gt;(Results_!BP37*-1),Assessment!$D$178/2,Assessment!$D$178+BP37)))/Assessment!$D$204)</f>
        <v>3.8906385205510043E-3</v>
      </c>
      <c r="BQ13" s="144">
        <f>(((IF((Assessment!$D$178/2)&gt;(Results_!BQ37*-1),Assessment!$D$178/2,Assessment!$D$178+BQ37)))/Assessment!$D$204)</f>
        <v>3.9043402498939008E-3</v>
      </c>
      <c r="BR13" s="144">
        <f>(((IF((Assessment!$D$178/2)&gt;(Results_!BR37*-1),Assessment!$D$178/2,Assessment!$D$178+BR37)))/Assessment!$D$204)</f>
        <v>3.9173309539560922E-3</v>
      </c>
      <c r="BS13" s="144">
        <f>(((IF((Assessment!$D$178/2)&gt;(Results_!BS37*-1),Assessment!$D$178/2,Assessment!$D$178+BS37)))/Assessment!$D$204)</f>
        <v>3.9296502840188239E-3</v>
      </c>
      <c r="BT13" s="144">
        <f>(((IF((Assessment!$D$178/2)&gt;(Results_!BT37*-1),Assessment!$D$178/2,Assessment!$D$178+BT37)))/Assessment!$D$204)</f>
        <v>3.9413354146311478E-3</v>
      </c>
      <c r="BU13" s="144">
        <f>(((IF((Assessment!$D$178/2)&gt;(Results_!BU37*-1),Assessment!$D$178/2,Assessment!$D$178+BU37)))/Assessment!$D$204)</f>
        <v>3.9524212235551312E-3</v>
      </c>
      <c r="BV13" s="144">
        <f>(((IF((Assessment!$D$178/2)&gt;(Results_!BV37*-1),Assessment!$D$178/2,Assessment!$D$178+BV37)))/Assessment!$D$204)</f>
        <v>3.9629404562960963E-3</v>
      </c>
      <c r="BW13" s="144">
        <f>(((IF((Assessment!$D$178/2)&gt;(Results_!BW37*-1),Assessment!$D$178/2,Assessment!$D$178+BW37)))/Assessment!$D$204)</f>
        <v>3.9729238767526329E-3</v>
      </c>
      <c r="BX13" s="144">
        <f>(((IF((Assessment!$D$178/2)&gt;(Results_!BX37*-1),Assessment!$D$178/2,Assessment!$D$178+BX37)))/Assessment!$D$204)</f>
        <v>3.9824004053480777E-3</v>
      </c>
      <c r="BY13" s="144">
        <f>(((IF((Assessment!$D$178/2)&gt;(Results_!BY37*-1),Assessment!$D$178/2,Assessment!$D$178+BY37)))/Assessment!$D$204)</f>
        <v>3.9913972458535075E-3</v>
      </c>
      <c r="BZ13" s="144">
        <f>(((IF((Assessment!$D$178/2)&gt;(Results_!BZ37*-1),Assessment!$D$178/2,Assessment!$D$178+BZ37)))/Assessment!$D$204)</f>
        <v>3.999940001979679E-3</v>
      </c>
      <c r="CA13" s="144">
        <f>(((IF((Assessment!$D$178/2)&gt;(Results_!CA37*-1),Assessment!$D$178/2,Assessment!$D$178+CA37)))/Assessment!$D$204)</f>
        <v>4.0080527846986435E-3</v>
      </c>
      <c r="CB13" s="144">
        <f>(((IF((Assessment!$D$178/2)&gt;(Results_!CB37*-1),Assessment!$D$178/2,Assessment!$D$178+CB37)))/Assessment!$D$204)</f>
        <v>4.0157583111532398E-3</v>
      </c>
      <c r="CC13" s="144">
        <f>(((IF((Assessment!$D$178/2)&gt;(Results_!CC37*-1),Assessment!$D$178/2,Assessment!$D$178+CC37)))/Assessment!$D$204)</f>
        <v>4.0230779959222395E-3</v>
      </c>
      <c r="CD13" s="144">
        <f>(((IF((Assessment!$D$178/2)&gt;(Results_!CD37*-1),Assessment!$D$178/2,Assessment!$D$178+CD37)))/Assessment!$D$204)</f>
        <v>4.0300320353291556E-3</v>
      </c>
      <c r="CE13" s="144">
        <f>(((IF((Assessment!$D$178/2)&gt;(Results_!CE37*-1),Assessment!$D$178/2,Assessment!$D$178+CE37)))/Assessment!$D$204)</f>
        <v>4.0366394854121071E-3</v>
      </c>
      <c r="CF13" s="144">
        <f>(((IF((Assessment!$D$178/2)&gt;(Results_!CF37*-1),Assessment!$D$178/2,Assessment!$D$178+CF37)))/Assessment!$D$204)</f>
        <v>4.0429183341096448E-3</v>
      </c>
      <c r="CG13" s="144">
        <f>(((IF((Assessment!$D$178/2)&gt;(Results_!CG37*-1),Assessment!$D$178/2,Assessment!$D$178+CG37)))/Assessment!$D$204)</f>
        <v>4.0488855681619553E-3</v>
      </c>
      <c r="CH13" s="144">
        <f>(((IF((Assessment!$D$178/2)&gt;(Results_!CH37*-1),Assessment!$D$178/2,Assessment!$D$178+CH37)))/Assessment!$D$204)</f>
        <v>4.0545572351776494E-3</v>
      </c>
      <c r="CI13" s="144">
        <f>(((IF((Assessment!$D$178/2)&gt;(Results_!CI37*-1),Assessment!$D$178/2,Assessment!$D$178+CI37)))/Assessment!$D$204)</f>
        <v>4.0599485012723794E-3</v>
      </c>
      <c r="CJ13" s="144">
        <f>(((IF((Assessment!$D$178/2)&gt;(Results_!CJ37*-1),Assessment!$D$178/2,Assessment!$D$178+CJ37)))/Assessment!$D$204)</f>
        <v>4.0650737046465796E-3</v>
      </c>
      <c r="CK13" s="144">
        <f>(((IF((Assessment!$D$178/2)&gt;(Results_!CK37*-1),Assessment!$D$178/2,Assessment!$D$178+CK37)))/Assessment!$D$204)</f>
        <v>4.0699464054346135E-3</v>
      </c>
      <c r="CL13" s="144">
        <f>(((IF((Assessment!$D$178/2)&gt;(Results_!CL37*-1),Assessment!$D$178/2,Assessment!$D$178+CL37)))/Assessment!$D$204)</f>
        <v>4.0745794321265386E-3</v>
      </c>
      <c r="CM13" s="144">
        <f>(((IF((Assessment!$D$178/2)&gt;(Results_!CM37*-1),Assessment!$D$178/2,Assessment!$D$178+CM37)))/Assessment!$D$204)</f>
        <v>4.0789849248357444E-3</v>
      </c>
      <c r="CN13" s="144">
        <f>(((IF((Assessment!$D$178/2)&gt;(Results_!CN37*-1),Assessment!$D$178/2,Assessment!$D$178+CN37)))/Assessment!$D$204)</f>
        <v>4.0831743756607241E-3</v>
      </c>
      <c r="CO13" s="144">
        <f>(((IF((Assessment!$D$178/2)&gt;(Results_!CO37*-1),Assessment!$D$178/2,Assessment!$D$178+CO37)))/Assessment!$D$204)</f>
        <v>4.0871586663668155E-3</v>
      </c>
      <c r="CP13" s="144">
        <f>(((IF((Assessment!$D$178/2)&gt;(Results_!CP37*-1),Assessment!$D$178/2,Assessment!$D$178+CP37)))/Assessment!$D$204)</f>
        <v>4.0909481035935648E-3</v>
      </c>
      <c r="CQ13" s="144">
        <f>(((IF((Assessment!$D$178/2)&gt;(Results_!CQ37*-1),Assessment!$D$178/2,Assessment!$D$178+CQ37)))/Assessment!$D$204)</f>
        <v>4.09455245177524E-3</v>
      </c>
      <c r="CR13" s="144">
        <f>(((IF((Assessment!$D$178/2)&gt;(Results_!CR37*-1),Assessment!$D$178/2,Assessment!$D$178+CR37)))/Assessment!$D$204)</f>
        <v>4.0979809639456908E-3</v>
      </c>
      <c r="CS13" s="144">
        <f>(((IF((Assessment!$D$178/2)&gt;(Results_!CS37*-1),Assessment!$D$178/2,Assessment!$D$178+CS37)))/Assessment!$D$204)</f>
        <v>4.1012424105839633E-3</v>
      </c>
      <c r="CT13" s="144">
        <f>(((IF((Assessment!$D$178/2)&gt;(Results_!CT37*-1),Assessment!$D$178/2,Assessment!$D$178+CT37)))/Assessment!$D$204)</f>
        <v>4.1043451066438601E-3</v>
      </c>
      <c r="CU13" s="144">
        <f>(((IF((Assessment!$D$178/2)&gt;(Results_!CU37*-1),Assessment!$D$178/2,Assessment!$D$178+CU37)))/Assessment!$D$204)</f>
        <v>4.1072969368985022E-3</v>
      </c>
      <c r="CV13" s="144">
        <f>(((IF((Assessment!$D$178/2)&gt;(Results_!CV37*-1),Assessment!$D$178/2,Assessment!$D$178+CV37)))/Assessment!$D$204)</f>
        <v>4.110105379720147E-3</v>
      </c>
      <c r="CW13" s="144">
        <f>(((IF((Assessment!$D$178/2)&gt;(Results_!CW37*-1),Assessment!$D$178/2,Assessment!$D$178+CW37)))/Assessment!$D$204)</f>
        <v>4.1127775294055938E-3</v>
      </c>
      <c r="CX13" s="144">
        <f>(((IF((Assessment!$D$178/2)&gt;(Results_!CX37*-1),Assessment!$D$178/2,Assessment!$D$178+CX37)))/Assessment!$D$204)</f>
        <v>4.1153201171485803E-3</v>
      </c>
      <c r="CY13" s="144">
        <f>(((IF((Assessment!$D$178/2)&gt;(Results_!CY37*-1),Assessment!$D$178/2,Assessment!$D$178+CY37)))/Assessment!$D$204)</f>
        <v>4.1177395307524555E-3</v>
      </c>
      <c r="CZ13" s="144">
        <f>(((IF((Assessment!$D$178/2)&gt;(Results_!CZ37*-1),Assessment!$D$178/2,Assessment!$D$178+CZ37)))/Assessment!$D$204)</f>
        <v>4.120041833168977E-3</v>
      </c>
      <c r="DA13" s="144">
        <f>(((IF((Assessment!$D$178/2)&gt;(Results_!DA37*-1),Assessment!$D$178/2,Assessment!$D$178+DA37)))/Assessment!$D$204)</f>
        <v>4.1222327799424327E-3</v>
      </c>
    </row>
    <row r="14" spans="1:105" ht="25.5" hidden="1" x14ac:dyDescent="0.2">
      <c r="A14" s="311"/>
      <c r="B14" s="305" t="s">
        <v>236</v>
      </c>
      <c r="C14" s="309" t="str">
        <f>Assessment!C222</f>
        <v>--Loft top-up loft insulation (150 to 270mm), 50% client funded-----</v>
      </c>
      <c r="D14" s="130" t="s">
        <v>162</v>
      </c>
      <c r="E14" s="132">
        <v>1</v>
      </c>
      <c r="F14" s="132">
        <v>1</v>
      </c>
      <c r="G14" s="129">
        <v>0.54853273137697522</v>
      </c>
      <c r="H14" s="132">
        <v>0.39992820811519225</v>
      </c>
      <c r="I14" s="132">
        <v>0.32701298604810758</v>
      </c>
      <c r="J14" s="183">
        <v>0.28434471475001144</v>
      </c>
      <c r="K14" s="132">
        <v>0.25677017068089891</v>
      </c>
      <c r="L14" s="132">
        <v>0.23779079424527477</v>
      </c>
      <c r="M14" s="132">
        <v>0.22415413919505184</v>
      </c>
      <c r="N14" s="132">
        <v>0.21405105633575719</v>
      </c>
      <c r="O14" s="183">
        <v>0.20639457629760086</v>
      </c>
      <c r="P14" s="132">
        <v>0.20639457629760086</v>
      </c>
      <c r="Q14" s="132">
        <v>0.20639457629760086</v>
      </c>
      <c r="R14" s="132">
        <v>0.20639457629760086</v>
      </c>
      <c r="S14" s="132">
        <v>0.20639457629760086</v>
      </c>
      <c r="T14" s="132">
        <v>0.20639457629760086</v>
      </c>
      <c r="U14" s="132">
        <v>0.20639457629760086</v>
      </c>
      <c r="V14" s="132">
        <v>0.20639457629760086</v>
      </c>
      <c r="W14" s="132">
        <v>0.20639457629760086</v>
      </c>
      <c r="X14" s="132">
        <v>0.20639457629760086</v>
      </c>
      <c r="Y14" s="132">
        <v>0.20639457629760086</v>
      </c>
      <c r="Z14" s="132">
        <v>0.20639457629760086</v>
      </c>
      <c r="AA14" s="132">
        <v>0.20639457629760086</v>
      </c>
      <c r="AB14" s="132">
        <v>0.20639457629760086</v>
      </c>
      <c r="AC14" s="132">
        <v>0.20639457629760086</v>
      </c>
      <c r="AD14" s="183">
        <v>0.20639457629760086</v>
      </c>
    </row>
    <row r="15" spans="1:105" ht="25.5" hidden="1" x14ac:dyDescent="0.2">
      <c r="A15" s="312"/>
      <c r="B15" s="305"/>
      <c r="C15" s="310"/>
      <c r="D15" s="130" t="s">
        <v>163</v>
      </c>
      <c r="E15" s="132">
        <v>1</v>
      </c>
      <c r="F15" s="132">
        <v>1</v>
      </c>
      <c r="G15" s="128">
        <v>0.52494061757719712</v>
      </c>
      <c r="H15" s="132">
        <v>0.36711239392367773</v>
      </c>
      <c r="I15" s="132">
        <v>0.28859000577535016</v>
      </c>
      <c r="J15" s="183">
        <v>0.24178777862639159</v>
      </c>
      <c r="K15" s="132">
        <v>0.21084332545555282</v>
      </c>
      <c r="L15" s="132">
        <v>0.18895806939465784</v>
      </c>
      <c r="M15" s="132">
        <v>0.17273237672769687</v>
      </c>
      <c r="N15" s="132">
        <v>0.16027726979377493</v>
      </c>
      <c r="O15" s="183">
        <v>0.15045911368891715</v>
      </c>
      <c r="P15" s="132">
        <v>0.15045911368891715</v>
      </c>
      <c r="Q15" s="132">
        <v>0.15045911368891715</v>
      </c>
      <c r="R15" s="132">
        <v>0.15045911368891715</v>
      </c>
      <c r="S15" s="132">
        <v>0.15045911368891715</v>
      </c>
      <c r="T15" s="132">
        <v>0.15045911368891715</v>
      </c>
      <c r="U15" s="132">
        <v>0.15045911368891715</v>
      </c>
      <c r="V15" s="132">
        <v>0.15045911368891715</v>
      </c>
      <c r="W15" s="132">
        <v>0.15045911368891715</v>
      </c>
      <c r="X15" s="132">
        <v>0.15045911368891715</v>
      </c>
      <c r="Y15" s="132">
        <v>0.15045911368891715</v>
      </c>
      <c r="Z15" s="132">
        <v>0.15045911368891715</v>
      </c>
      <c r="AA15" s="132">
        <v>0.15045911368891715</v>
      </c>
      <c r="AB15" s="132">
        <v>0.15045911368891715</v>
      </c>
      <c r="AC15" s="132">
        <v>0.15045911368891715</v>
      </c>
      <c r="AD15" s="183">
        <v>0.15045911368891715</v>
      </c>
    </row>
    <row r="16" spans="1:105" s="141" customFormat="1" ht="25.5" hidden="1" x14ac:dyDescent="0.2">
      <c r="A16" s="307" t="s">
        <v>250</v>
      </c>
      <c r="B16" s="306" t="s">
        <v>286</v>
      </c>
      <c r="C16" s="301" t="str">
        <f>Assessment!C$219</f>
        <v>--Loft top-up loft insulation (150 to 270mm), 50% client funded---</v>
      </c>
      <c r="D16" s="135" t="s">
        <v>162</v>
      </c>
      <c r="E16" s="140">
        <v>-0.39544534919222768</v>
      </c>
      <c r="F16" s="153">
        <f>Assessment!$D$66/(Results_!F30*-1)</f>
        <v>0.83333333333333315</v>
      </c>
      <c r="G16" s="153">
        <f>Assessment!$D$66/(Results_!G30*-1)</f>
        <v>1.5277777777777775</v>
      </c>
      <c r="H16" s="153">
        <f>Assessment!$D$66/(Results_!H30*-1)</f>
        <v>2.1064814814814814</v>
      </c>
      <c r="I16" s="153">
        <f>Assessment!$D$66/(Results_!I30*-1)</f>
        <v>2.5887345679012337</v>
      </c>
      <c r="J16" s="185">
        <f>Assessment!$D$66/(Results_!J30*-1)</f>
        <v>2.9906121399176953</v>
      </c>
      <c r="K16" s="153">
        <f>Assessment!$D$66/(Results_!K30*-1)</f>
        <v>3.3255101165980792</v>
      </c>
      <c r="L16" s="153">
        <f>Assessment!$D$66/(Results_!L30*-1)</f>
        <v>3.6045917638317322</v>
      </c>
      <c r="M16" s="153">
        <f>Assessment!$D$66/(Results_!M30*-1)</f>
        <v>3.8371598031931105</v>
      </c>
      <c r="N16" s="153">
        <f>Assessment!$D$66/(Results_!N30*-1)</f>
        <v>4.0309665026609256</v>
      </c>
      <c r="O16" s="185">
        <f>Assessment!$D$66/(Results_!O30*-1)</f>
        <v>4.1924720855507704</v>
      </c>
      <c r="P16" s="153">
        <f>Assessment!$D$66/(Results_!P30*-1)</f>
        <v>4.3270600712923093</v>
      </c>
      <c r="Q16" s="153">
        <f>Assessment!$D$66/(Results_!Q30*-1)</f>
        <v>4.439216726076924</v>
      </c>
      <c r="R16" s="153">
        <f>Assessment!$D$66/(Results_!R30*-1)</f>
        <v>4.5326806050641038</v>
      </c>
      <c r="S16" s="153">
        <f>Assessment!$D$66/(Results_!S30*-1)</f>
        <v>4.6105671708867533</v>
      </c>
      <c r="T16" s="153">
        <f>Assessment!$D$66/(Results_!T30*-1)</f>
        <v>4.6754726424056274</v>
      </c>
      <c r="U16" s="153">
        <f>Assessment!$D$66/(Results_!U30*-1)</f>
        <v>4.729560535338023</v>
      </c>
      <c r="V16" s="153">
        <f>Assessment!$D$66/(Results_!V30*-1)</f>
        <v>4.7746337794483527</v>
      </c>
      <c r="W16" s="153">
        <f>Assessment!$D$66/(Results_!W30*-1)</f>
        <v>4.8121948162069605</v>
      </c>
      <c r="X16" s="153">
        <f>Assessment!$D$66/(Results_!X30*-1)</f>
        <v>4.8434956801724676</v>
      </c>
      <c r="Y16" s="153">
        <f>Assessment!$D$66/(Results_!Y30*-1)</f>
        <v>4.869579733477055</v>
      </c>
      <c r="Z16" s="153">
        <f>Assessment!$D$66/(Results_!Z30*-1)</f>
        <v>4.8913164445642128</v>
      </c>
      <c r="AA16" s="153">
        <f>Assessment!$D$66/(Results_!AA30*-1)</f>
        <v>4.9094303704701767</v>
      </c>
      <c r="AB16" s="153">
        <f>Assessment!$D$66/(Results_!AB30*-1)</f>
        <v>4.9245253087251477</v>
      </c>
      <c r="AC16" s="153">
        <f>Assessment!$D$66/(Results_!AC30*-1)</f>
        <v>4.9371044239376225</v>
      </c>
      <c r="AD16" s="185">
        <f>Assessment!$D$66/(Results_!AD30*-1)</f>
        <v>4.9475870199480187</v>
      </c>
    </row>
    <row r="17" spans="1:105" s="141" customFormat="1" ht="25.5" hidden="1" x14ac:dyDescent="0.2">
      <c r="A17" s="308"/>
      <c r="B17" s="306"/>
      <c r="C17" s="301"/>
      <c r="D17" s="135" t="s">
        <v>163</v>
      </c>
      <c r="E17" s="140">
        <v>-0.39544534919222768</v>
      </c>
      <c r="F17" s="153">
        <f>Assessment!$D$66/(Results_!F31*-1)</f>
        <v>0.95238095238095255</v>
      </c>
      <c r="G17" s="153">
        <f>Assessment!$D$66/(Results_!G31*-1)</f>
        <v>1.8594104308390025</v>
      </c>
      <c r="H17" s="153">
        <f>Assessment!$D$66/(Results_!H31*-1)</f>
        <v>2.7232480293704784</v>
      </c>
      <c r="I17" s="153">
        <f>Assessment!$D$66/(Results_!I31*-1)</f>
        <v>3.5459505041623607</v>
      </c>
      <c r="J17" s="185">
        <f>Assessment!$D$66/(Results_!J31*-1)</f>
        <v>4.3294766706308199</v>
      </c>
      <c r="K17" s="153">
        <f>Assessment!$D$66/(Results_!K31*-1)</f>
        <v>5.0756920672674477</v>
      </c>
      <c r="L17" s="153">
        <f>Assessment!$D$66/(Results_!L31*-1)</f>
        <v>5.7863733973975693</v>
      </c>
      <c r="M17" s="153">
        <f>Assessment!$D$66/(Results_!M31*-1)</f>
        <v>6.4632127594262565</v>
      </c>
      <c r="N17" s="153">
        <f>Assessment!$D$66/(Results_!N31*-1)</f>
        <v>7.1078216756440531</v>
      </c>
      <c r="O17" s="185">
        <f>Assessment!$D$66/(Results_!O31*-1)</f>
        <v>7.7217349291848132</v>
      </c>
      <c r="P17" s="153">
        <f>Assessment!$D$66/(Results_!P31*-1)</f>
        <v>8.3064142182712519</v>
      </c>
      <c r="Q17" s="153">
        <f>Assessment!$D$66/(Results_!Q31*-1)</f>
        <v>8.8632516364488083</v>
      </c>
      <c r="R17" s="153">
        <f>Assessment!$D$66/(Results_!R31*-1)</f>
        <v>9.3935729870941049</v>
      </c>
      <c r="S17" s="153">
        <f>Assessment!$D$66/(Results_!S31*-1)</f>
        <v>9.8986409400896243</v>
      </c>
      <c r="T17" s="153">
        <f>Assessment!$D$66/(Results_!T31*-1)</f>
        <v>10.379658038180594</v>
      </c>
      <c r="U17" s="153">
        <f>Assessment!$D$66/(Results_!U31*-1)</f>
        <v>10.837769560171994</v>
      </c>
      <c r="V17" s="153">
        <f>Assessment!$D$66/(Results_!V31*-1)</f>
        <v>11.274066247782851</v>
      </c>
      <c r="W17" s="153">
        <f>Assessment!$D$66/(Results_!W31*-1)</f>
        <v>11.689586902650335</v>
      </c>
      <c r="X17" s="153">
        <f>Assessment!$D$66/(Results_!X31*-1)</f>
        <v>12.085320859666984</v>
      </c>
      <c r="Y17" s="153">
        <f>Assessment!$D$66/(Results_!Y31*-1)</f>
        <v>12.462210342539986</v>
      </c>
      <c r="Z17" s="153">
        <f>Assessment!$D$66/(Results_!Z31*-1)</f>
        <v>12.821152707180941</v>
      </c>
      <c r="AA17" s="153">
        <f>Assessment!$D$66/(Results_!AA31*-1)</f>
        <v>13.163002578267562</v>
      </c>
      <c r="AB17" s="153">
        <f>Assessment!$D$66/(Results_!AB31*-1)</f>
        <v>13.488573884064344</v>
      </c>
      <c r="AC17" s="153">
        <f>Assessment!$D$66/(Results_!AC31*-1)</f>
        <v>13.798641794346995</v>
      </c>
      <c r="AD17" s="185">
        <f>Assessment!$D$66/(Results_!AD31*-1)</f>
        <v>14.093944566044756</v>
      </c>
    </row>
    <row r="18" spans="1:105" ht="25.5" hidden="1" customHeight="1" x14ac:dyDescent="0.2">
      <c r="A18" s="311"/>
      <c r="B18" s="305" t="s">
        <v>236</v>
      </c>
      <c r="C18" s="309">
        <f>Assessment!C231</f>
        <v>0</v>
      </c>
      <c r="D18" s="130" t="s">
        <v>162</v>
      </c>
      <c r="E18" s="132">
        <v>1</v>
      </c>
      <c r="F18" s="132">
        <v>1</v>
      </c>
      <c r="G18" s="129">
        <v>0.54853273137697534</v>
      </c>
      <c r="H18" s="132">
        <v>0.39992820811519225</v>
      </c>
      <c r="I18" s="132">
        <v>0.32701298604810758</v>
      </c>
      <c r="J18" s="183">
        <v>0.28434471475001144</v>
      </c>
      <c r="K18" s="132">
        <v>0.25677017068089891</v>
      </c>
      <c r="L18" s="132">
        <v>0.23779079424527477</v>
      </c>
      <c r="M18" s="132">
        <v>0.22415413919505184</v>
      </c>
      <c r="N18" s="132">
        <v>0.21405105633575719</v>
      </c>
      <c r="O18" s="183">
        <v>0.20639457629760086</v>
      </c>
      <c r="P18" s="132">
        <v>0.20639457629760086</v>
      </c>
      <c r="Q18" s="132">
        <v>0.20639457629760086</v>
      </c>
      <c r="R18" s="132">
        <v>0.20639457629760086</v>
      </c>
      <c r="S18" s="132">
        <v>0.20639457629760086</v>
      </c>
      <c r="T18" s="132">
        <v>0.20639457629760086</v>
      </c>
      <c r="U18" s="132">
        <v>0.20639457629760086</v>
      </c>
      <c r="V18" s="132">
        <v>0.20639457629760086</v>
      </c>
      <c r="W18" s="132">
        <v>0.20639457629760086</v>
      </c>
      <c r="X18" s="132">
        <v>0.20639457629760086</v>
      </c>
      <c r="Y18" s="132">
        <v>0.20639457629760086</v>
      </c>
      <c r="Z18" s="132">
        <v>0.20639457629760086</v>
      </c>
      <c r="AA18" s="132">
        <v>0.20639457629760086</v>
      </c>
      <c r="AB18" s="132">
        <v>0.20639457629760086</v>
      </c>
      <c r="AC18" s="132">
        <v>0.20639457629760086</v>
      </c>
      <c r="AD18" s="183">
        <v>0.20639457629760086</v>
      </c>
    </row>
    <row r="19" spans="1:105" ht="25.5" hidden="1" customHeight="1" x14ac:dyDescent="0.2">
      <c r="A19" s="312"/>
      <c r="B19" s="305"/>
      <c r="C19" s="310"/>
      <c r="D19" s="130" t="s">
        <v>163</v>
      </c>
      <c r="E19" s="132">
        <v>1</v>
      </c>
      <c r="F19" s="132">
        <v>1</v>
      </c>
      <c r="G19" s="128">
        <v>0.52494061757719712</v>
      </c>
      <c r="H19" s="132">
        <v>0.36711239392367773</v>
      </c>
      <c r="I19" s="132">
        <v>0.28859000577535016</v>
      </c>
      <c r="J19" s="183">
        <v>0.24178777862639159</v>
      </c>
      <c r="K19" s="132">
        <v>0.21084332545555282</v>
      </c>
      <c r="L19" s="132">
        <v>0.18895806939465784</v>
      </c>
      <c r="M19" s="132">
        <v>0.17273237672769687</v>
      </c>
      <c r="N19" s="132">
        <v>0.16027726979377493</v>
      </c>
      <c r="O19" s="183">
        <v>0.15045911368891715</v>
      </c>
      <c r="P19" s="132">
        <v>0.15045911368891715</v>
      </c>
      <c r="Q19" s="132">
        <v>0.15045911368891715</v>
      </c>
      <c r="R19" s="132">
        <v>0.15045911368891715</v>
      </c>
      <c r="S19" s="132">
        <v>0.15045911368891715</v>
      </c>
      <c r="T19" s="132">
        <v>0.15045911368891715</v>
      </c>
      <c r="U19" s="132">
        <v>0.15045911368891715</v>
      </c>
      <c r="V19" s="132">
        <v>0.15045911368891715</v>
      </c>
      <c r="W19" s="132">
        <v>0.15045911368891715</v>
      </c>
      <c r="X19" s="132">
        <v>0.15045911368891715</v>
      </c>
      <c r="Y19" s="132">
        <v>0.15045911368891715</v>
      </c>
      <c r="Z19" s="132">
        <v>0.15045911368891715</v>
      </c>
      <c r="AA19" s="132">
        <v>0.15045911368891715</v>
      </c>
      <c r="AB19" s="132">
        <v>0.15045911368891715</v>
      </c>
      <c r="AC19" s="132">
        <v>0.15045911368891715</v>
      </c>
      <c r="AD19" s="183">
        <v>0.15045911368891715</v>
      </c>
    </row>
    <row r="20" spans="1:105" s="139" customFormat="1" ht="25.5" hidden="1" x14ac:dyDescent="0.2">
      <c r="A20" s="316" t="s">
        <v>60</v>
      </c>
      <c r="B20" s="319" t="s">
        <v>283</v>
      </c>
      <c r="C20" s="318" t="str">
        <f>Assessment!C$220</f>
        <v>--</v>
      </c>
      <c r="D20" s="137" t="s">
        <v>162</v>
      </c>
      <c r="E20" s="144">
        <v>-8.734941063733891E-3</v>
      </c>
      <c r="F20" s="154" t="e">
        <f>Assessment!$D$128/(F33*-1)</f>
        <v>#DIV/0!</v>
      </c>
      <c r="G20" s="154" t="e">
        <f>Assessment!$D$128/(G33*-1)</f>
        <v>#DIV/0!</v>
      </c>
      <c r="H20" s="154" t="e">
        <f>Assessment!$D$128/(H33*-1)</f>
        <v>#DIV/0!</v>
      </c>
      <c r="I20" s="154" t="e">
        <f>Assessment!$D$128/(I33*-1)</f>
        <v>#DIV/0!</v>
      </c>
      <c r="J20" s="186" t="e">
        <f>Assessment!$D$128/(J33*-1)</f>
        <v>#DIV/0!</v>
      </c>
      <c r="K20" s="154" t="e">
        <f>Assessment!$D$128/(K33*-1)</f>
        <v>#DIV/0!</v>
      </c>
      <c r="L20" s="154" t="e">
        <f>Assessment!$D$128/(L33*-1)</f>
        <v>#DIV/0!</v>
      </c>
      <c r="M20" s="154" t="e">
        <f>Assessment!$D$128/(M33*-1)</f>
        <v>#DIV/0!</v>
      </c>
      <c r="N20" s="154" t="e">
        <f>Assessment!$D$128/(N33*-1)</f>
        <v>#DIV/0!</v>
      </c>
      <c r="O20" s="186" t="e">
        <f>Assessment!$D$128/(O33*-1)</f>
        <v>#DIV/0!</v>
      </c>
      <c r="P20" s="154" t="e">
        <f>Assessment!$D$128/(P33*-1)</f>
        <v>#DIV/0!</v>
      </c>
      <c r="Q20" s="154" t="e">
        <f>Assessment!$D$128/(Q33*-1)</f>
        <v>#DIV/0!</v>
      </c>
      <c r="R20" s="154" t="e">
        <f>Assessment!$D$128/(R33*-1)</f>
        <v>#DIV/0!</v>
      </c>
      <c r="S20" s="154" t="e">
        <f>Assessment!$D$128/(S33*-1)</f>
        <v>#DIV/0!</v>
      </c>
      <c r="T20" s="154" t="e">
        <f>Assessment!$D$128/(T33*-1)</f>
        <v>#DIV/0!</v>
      </c>
      <c r="U20" s="154" t="e">
        <f>Assessment!$D$128/(U33*-1)</f>
        <v>#DIV/0!</v>
      </c>
      <c r="V20" s="154" t="e">
        <f>Assessment!$D$128/(V33*-1)</f>
        <v>#DIV/0!</v>
      </c>
      <c r="W20" s="154" t="e">
        <f>Assessment!$D$128/(W33*-1)</f>
        <v>#DIV/0!</v>
      </c>
      <c r="X20" s="154" t="e">
        <f>Assessment!$D$128/(X33*-1)</f>
        <v>#DIV/0!</v>
      </c>
      <c r="Y20" s="154" t="e">
        <f>Assessment!$D$128/(Y33*-1)</f>
        <v>#DIV/0!</v>
      </c>
      <c r="Z20" s="154" t="e">
        <f>Assessment!$D$128/(Z33*-1)</f>
        <v>#DIV/0!</v>
      </c>
      <c r="AA20" s="154" t="e">
        <f>Assessment!$D$128/(AA33*-1)</f>
        <v>#DIV/0!</v>
      </c>
      <c r="AB20" s="154" t="e">
        <f>Assessment!$D$128/(AB33*-1)</f>
        <v>#DIV/0!</v>
      </c>
      <c r="AC20" s="154" t="e">
        <f>Assessment!$D$128/(AC33*-1)</f>
        <v>#DIV/0!</v>
      </c>
      <c r="AD20" s="186" t="e">
        <f>Assessment!$D$128/(AD33*-1)</f>
        <v>#DIV/0!</v>
      </c>
    </row>
    <row r="21" spans="1:105" s="139" customFormat="1" ht="25.5" hidden="1" x14ac:dyDescent="0.2">
      <c r="A21" s="317"/>
      <c r="B21" s="319"/>
      <c r="C21" s="318"/>
      <c r="D21" s="137" t="s">
        <v>163</v>
      </c>
      <c r="E21" s="144">
        <v>-4.3674705318669455E-3</v>
      </c>
      <c r="F21" s="154" t="e">
        <f>Assessment!$D$128/(F34*-1)</f>
        <v>#DIV/0!</v>
      </c>
      <c r="G21" s="154" t="e">
        <f>Assessment!$D$128/(G34*-1)</f>
        <v>#DIV/0!</v>
      </c>
      <c r="H21" s="154" t="e">
        <f>Assessment!$D$128/(H34*-1)</f>
        <v>#DIV/0!</v>
      </c>
      <c r="I21" s="154" t="e">
        <f>Assessment!$D$128/(I34*-1)</f>
        <v>#DIV/0!</v>
      </c>
      <c r="J21" s="186" t="e">
        <f>Assessment!$D$128/(J34*-1)</f>
        <v>#DIV/0!</v>
      </c>
      <c r="K21" s="154" t="e">
        <f>Assessment!$D$128/(K34*-1)</f>
        <v>#DIV/0!</v>
      </c>
      <c r="L21" s="154" t="e">
        <f>Assessment!$D$128/(L34*-1)</f>
        <v>#DIV/0!</v>
      </c>
      <c r="M21" s="154" t="e">
        <f>Assessment!$D$128/(M34*-1)</f>
        <v>#DIV/0!</v>
      </c>
      <c r="N21" s="154" t="e">
        <f>Assessment!$D$128/(N34*-1)</f>
        <v>#DIV/0!</v>
      </c>
      <c r="O21" s="186" t="e">
        <f>Assessment!$D$128/(O34*-1)</f>
        <v>#DIV/0!</v>
      </c>
      <c r="P21" s="154" t="e">
        <f>Assessment!$D$128/(P34*-1)</f>
        <v>#DIV/0!</v>
      </c>
      <c r="Q21" s="154" t="e">
        <f>Assessment!$D$128/(Q34*-1)</f>
        <v>#DIV/0!</v>
      </c>
      <c r="R21" s="154" t="e">
        <f>Assessment!$D$128/(R34*-1)</f>
        <v>#DIV/0!</v>
      </c>
      <c r="S21" s="154" t="e">
        <f>Assessment!$D$128/(S34*-1)</f>
        <v>#DIV/0!</v>
      </c>
      <c r="T21" s="154" t="e">
        <f>Assessment!$D$128/(T34*-1)</f>
        <v>#DIV/0!</v>
      </c>
      <c r="U21" s="154" t="e">
        <f>Assessment!$D$128/(U34*-1)</f>
        <v>#DIV/0!</v>
      </c>
      <c r="V21" s="154" t="e">
        <f>Assessment!$D$128/(V34*-1)</f>
        <v>#DIV/0!</v>
      </c>
      <c r="W21" s="154" t="e">
        <f>Assessment!$D$128/(W34*-1)</f>
        <v>#DIV/0!</v>
      </c>
      <c r="X21" s="154" t="e">
        <f>Assessment!$D$128/(X34*-1)</f>
        <v>#DIV/0!</v>
      </c>
      <c r="Y21" s="154" t="e">
        <f>Assessment!$D$128/(Y34*-1)</f>
        <v>#DIV/0!</v>
      </c>
      <c r="Z21" s="154" t="e">
        <f>Assessment!$D$128/(Z34*-1)</f>
        <v>#DIV/0!</v>
      </c>
      <c r="AA21" s="154" t="e">
        <f>Assessment!$D$128/(AA34*-1)</f>
        <v>#DIV/0!</v>
      </c>
      <c r="AB21" s="154" t="e">
        <f>Assessment!$D$128/(AB34*-1)</f>
        <v>#DIV/0!</v>
      </c>
      <c r="AC21" s="154" t="e">
        <f>Assessment!$D$128/(AC34*-1)</f>
        <v>#DIV/0!</v>
      </c>
      <c r="AD21" s="186" t="e">
        <f>Assessment!$D$128/(AD34*-1)</f>
        <v>#DIV/0!</v>
      </c>
    </row>
    <row r="22" spans="1:105" ht="25.5" hidden="1" customHeight="1" x14ac:dyDescent="0.2">
      <c r="A22" s="311"/>
      <c r="B22" s="305" t="s">
        <v>236</v>
      </c>
      <c r="C22" s="309">
        <f>Assessment!C232</f>
        <v>0</v>
      </c>
      <c r="D22" s="130" t="s">
        <v>162</v>
      </c>
      <c r="E22" s="132">
        <v>0.99999999999999989</v>
      </c>
      <c r="F22" s="132">
        <v>0.99999999999999989</v>
      </c>
      <c r="G22" s="129">
        <v>0.54853273137697522</v>
      </c>
      <c r="H22" s="132">
        <v>0.39992820811519225</v>
      </c>
      <c r="I22" s="132">
        <v>0.32701298604810758</v>
      </c>
      <c r="J22" s="183">
        <v>0.28434471475001144</v>
      </c>
      <c r="K22" s="132">
        <v>0.25677017068089891</v>
      </c>
      <c r="L22" s="132">
        <v>0.23779079424527477</v>
      </c>
      <c r="M22" s="132">
        <v>0.22415413919505184</v>
      </c>
      <c r="N22" s="132">
        <v>0.21405105633575719</v>
      </c>
      <c r="O22" s="183">
        <v>0.20639457629760086</v>
      </c>
      <c r="P22" s="132">
        <v>0.20639457629760086</v>
      </c>
      <c r="Q22" s="132">
        <v>0.20639457629760086</v>
      </c>
      <c r="R22" s="132">
        <v>0.20639457629760086</v>
      </c>
      <c r="S22" s="132">
        <v>0.20639457629760086</v>
      </c>
      <c r="T22" s="132">
        <v>0.20639457629760086</v>
      </c>
      <c r="U22" s="132">
        <v>0.20639457629760086</v>
      </c>
      <c r="V22" s="132">
        <v>0.20639457629760086</v>
      </c>
      <c r="W22" s="132">
        <v>0.20639457629760086</v>
      </c>
      <c r="X22" s="132">
        <v>0.20639457629760086</v>
      </c>
      <c r="Y22" s="132">
        <v>0.20639457629760086</v>
      </c>
      <c r="Z22" s="132">
        <v>0.20639457629760086</v>
      </c>
      <c r="AA22" s="132">
        <v>0.20639457629760086</v>
      </c>
      <c r="AB22" s="132">
        <v>0.20639457629760086</v>
      </c>
      <c r="AC22" s="132">
        <v>0.20639457629760086</v>
      </c>
      <c r="AD22" s="183">
        <v>0.20639457629760086</v>
      </c>
    </row>
    <row r="23" spans="1:105" ht="25.5" hidden="1" customHeight="1" x14ac:dyDescent="0.2">
      <c r="A23" s="312"/>
      <c r="B23" s="305"/>
      <c r="C23" s="310"/>
      <c r="D23" s="130" t="s">
        <v>163</v>
      </c>
      <c r="E23" s="132">
        <v>1</v>
      </c>
      <c r="F23" s="132">
        <v>1</v>
      </c>
      <c r="G23" s="128">
        <v>0.52494061757719712</v>
      </c>
      <c r="H23" s="132">
        <v>0.36711239392367773</v>
      </c>
      <c r="I23" s="132">
        <v>0.28859000577535016</v>
      </c>
      <c r="J23" s="183">
        <v>0.24178777862639159</v>
      </c>
      <c r="K23" s="132">
        <v>0.21084332545555282</v>
      </c>
      <c r="L23" s="132">
        <v>0.18895806939465784</v>
      </c>
      <c r="M23" s="132">
        <v>0.17273237672769687</v>
      </c>
      <c r="N23" s="132">
        <v>0.16027726979377493</v>
      </c>
      <c r="O23" s="183">
        <v>0.15045911368891715</v>
      </c>
      <c r="P23" s="132">
        <v>0.15045911368891715</v>
      </c>
      <c r="Q23" s="132">
        <v>0.15045911368891715</v>
      </c>
      <c r="R23" s="132">
        <v>0.15045911368891715</v>
      </c>
      <c r="S23" s="132">
        <v>0.15045911368891715</v>
      </c>
      <c r="T23" s="132">
        <v>0.15045911368891715</v>
      </c>
      <c r="U23" s="132">
        <v>0.15045911368891715</v>
      </c>
      <c r="V23" s="132">
        <v>0.15045911368891715</v>
      </c>
      <c r="W23" s="132">
        <v>0.15045911368891715</v>
      </c>
      <c r="X23" s="132">
        <v>0.15045911368891715</v>
      </c>
      <c r="Y23" s="132">
        <v>0.15045911368891715</v>
      </c>
      <c r="Z23" s="132">
        <v>0.15045911368891715</v>
      </c>
      <c r="AA23" s="132">
        <v>0.15045911368891715</v>
      </c>
      <c r="AB23" s="132">
        <v>0.15045911368891715</v>
      </c>
      <c r="AC23" s="132">
        <v>0.15045911368891715</v>
      </c>
      <c r="AD23" s="183">
        <v>0.15045911368891715</v>
      </c>
    </row>
    <row r="24" spans="1:105" x14ac:dyDescent="0.2">
      <c r="A24" s="163"/>
      <c r="B24" s="164"/>
      <c r="C24" s="146"/>
      <c r="E24" s="132"/>
      <c r="F24" s="132"/>
      <c r="G24" s="128"/>
      <c r="H24" s="132"/>
      <c r="I24" s="132"/>
      <c r="J24" s="183"/>
      <c r="K24" s="132"/>
      <c r="L24" s="132"/>
      <c r="M24" s="132"/>
      <c r="N24" s="132"/>
      <c r="O24" s="183"/>
      <c r="P24" s="132"/>
      <c r="Q24" s="132"/>
      <c r="R24" s="132"/>
      <c r="S24" s="132"/>
      <c r="T24" s="132"/>
      <c r="U24" s="132"/>
      <c r="V24" s="132"/>
      <c r="W24" s="132"/>
      <c r="X24" s="132"/>
      <c r="Y24" s="132"/>
      <c r="Z24" s="132"/>
      <c r="AA24" s="132"/>
      <c r="AB24" s="132"/>
      <c r="AC24" s="132"/>
      <c r="AD24" s="183"/>
    </row>
    <row r="25" spans="1:105" s="133" customFormat="1" ht="22.5" customHeight="1" x14ac:dyDescent="0.2">
      <c r="A25" s="302" t="s">
        <v>261</v>
      </c>
      <c r="B25" s="305" t="s">
        <v>282</v>
      </c>
      <c r="C25" s="304" t="str">
        <f>Assessment!C$222</f>
        <v>--Loft top-up loft insulation (150 to 270mm), 50% client funded-----</v>
      </c>
      <c r="D25" s="130" t="s">
        <v>162</v>
      </c>
      <c r="E25" s="130"/>
      <c r="F25" s="132">
        <f>(((F36*-1)*F2)-Assessment!$D$182)/Assessment!$D$182</f>
        <v>0.20000000000000021</v>
      </c>
      <c r="G25" s="132">
        <f>(((G36*-1)*G2)-Assessment!$D$182)/Assessment!$D$182</f>
        <v>0.3090909090909093</v>
      </c>
      <c r="H25" s="132">
        <f>(((H36*-1)*H2)-Assessment!$D$182)/Assessment!$D$182</f>
        <v>0.42417582417582433</v>
      </c>
      <c r="I25" s="132">
        <f>(((I36*-1)*I2)-Assessment!$D$182)/Assessment!$D$182</f>
        <v>0.5451564828614015</v>
      </c>
      <c r="J25" s="183">
        <f>(((J36*-1)*J2)-Assessment!$D$182)/Assessment!$D$182</f>
        <v>0.67189851644807586</v>
      </c>
      <c r="K25" s="132">
        <f>(((K36*-1)*K2)-Assessment!$D$182)/Assessment!$D$182</f>
        <v>0.80423447520221725</v>
      </c>
      <c r="L25" s="132">
        <f>(((L36*-1)*L2)-Assessment!$D$182)/Assessment!$D$182</f>
        <v>0.9419674844285002</v>
      </c>
      <c r="M25" s="132">
        <f>(((M36*-1)*M2)-Assessment!$D$182)/Assessment!$D$182</f>
        <v>1.0848753792695218</v>
      </c>
      <c r="N25" s="132">
        <f>(((N36*-1)*N2)-Assessment!$D$182)/Assessment!$D$182</f>
        <v>1.2327151550524946</v>
      </c>
      <c r="O25" s="183">
        <f>(((O36*-1)*O2)-Assessment!$D$182)/Assessment!$D$182</f>
        <v>1.3852275688285915</v>
      </c>
      <c r="P25" s="132">
        <f>(((P36*-1)*P2)-Assessment!$D$182)/Assessment!$D$182</f>
        <v>1.5421417356738401</v>
      </c>
      <c r="Q25" s="132">
        <f>(((Q36*-1)*Q2)-Assessment!$D$182)/Assessment!$D$182</f>
        <v>1.703179578845383</v>
      </c>
      <c r="R25" s="132">
        <f>(((R36*-1)*R2)-Assessment!$D$182)/Assessment!$D$182</f>
        <v>1.8680600140843466</v>
      </c>
      <c r="S25" s="132">
        <f>(((S36*-1)*S2)-Assessment!$D$182)/Assessment!$D$182</f>
        <v>2.0365027731083618</v>
      </c>
      <c r="T25" s="132">
        <f>(((T36*-1)*T2)-Assessment!$D$182)/Assessment!$D$182</f>
        <v>2.2082317975626502</v>
      </c>
      <c r="U25" s="132">
        <f>(((U36*-1)*U2)-Assessment!$D$182)/Assessment!$D$182</f>
        <v>2.3829781605399147</v>
      </c>
      <c r="V25" s="132">
        <f>(((V36*-1)*V2)-Assessment!$D$182)/Assessment!$D$182</f>
        <v>2.5604824967254625</v>
      </c>
      <c r="W25" s="132">
        <f>(((W36*-1)*W2)-Assessment!$D$182)/Assessment!$D$182</f>
        <v>2.7404969431781758</v>
      </c>
      <c r="X25" s="132">
        <f>(((X36*-1)*X2)-Assessment!$D$182)/Assessment!$D$182</f>
        <v>2.9227866100467845</v>
      </c>
      <c r="Y25" s="132">
        <f>(((Y36*-1)*Y2)-Assessment!$D$182)/Assessment!$D$182</f>
        <v>3.1071306138608557</v>
      </c>
      <c r="Z25" s="132">
        <f>(((Z36*-1)*Z2)-Assessment!$D$182)/Assessment!$D$182</f>
        <v>3.2933227154701035</v>
      </c>
      <c r="AA25" s="132">
        <f>(((AA36*-1)*AA2)-Assessment!$D$182)/Assessment!$D$182</f>
        <v>3.481171610524961</v>
      </c>
      <c r="AB25" s="132">
        <f>(((AB36*-1)*AB2)-Assessment!$D$182)/Assessment!$D$182</f>
        <v>3.6705009230532717</v>
      </c>
      <c r="AC25" s="132">
        <f>(((AC36*-1)*AC2)-Assessment!$D$182)/Assessment!$D$182</f>
        <v>3.8611489527415404</v>
      </c>
      <c r="AD25" s="183">
        <f>(((AD36*-1)*AD2)-Assessment!$D$182)/Assessment!$D$182</f>
        <v>4.0529682245513401</v>
      </c>
      <c r="AE25" s="132">
        <f>(((AE36*-1)*AE2)-Assessment!$D$182)/Assessment!$D$182</f>
        <v>4.2458248858497045</v>
      </c>
      <c r="AF25" s="132">
        <f>(((AF36*-1)*AF2)-Assessment!$D$182)/Assessment!$D$182</f>
        <v>4.4395979918104942</v>
      </c>
      <c r="AG25" s="132">
        <f>(((AG36*-1)*AG2)-Assessment!$D$182)/Assessment!$D$182</f>
        <v>4.6341787148833875</v>
      </c>
      <c r="AH25" s="132">
        <f>(((AH36*-1)*AH2)-Assessment!$D$182)/Assessment!$D$182</f>
        <v>4.8294695089783675</v>
      </c>
      <c r="AI25" s="132">
        <f>(((AI36*-1)*AI2)-Assessment!$D$182)/Assessment!$D$182</f>
        <v>5.0253832539460053</v>
      </c>
      <c r="AJ25" s="132">
        <f>(((AJ36*-1)*AJ2)-Assessment!$D$182)/Assessment!$D$182</f>
        <v>5.221842401141978</v>
      </c>
      <c r="AK25" s="132">
        <f>(((AK36*-1)*AK2)-Assessment!$D$182)/Assessment!$D$182</f>
        <v>5.4187781364772469</v>
      </c>
      <c r="AL25" s="132">
        <f>(((AL36*-1)*AL2)-Assessment!$D$182)/Assessment!$D$182</f>
        <v>5.6161295734483758</v>
      </c>
      <c r="AM25" s="132">
        <f>(((AM36*-1)*AM2)-Assessment!$D$182)/Assessment!$D$182</f>
        <v>5.8138429852474109</v>
      </c>
      <c r="AN25" s="132">
        <f>(((AN36*-1)*AN2)-Assessment!$D$182)/Assessment!$D$182</f>
        <v>6.0118710821677466</v>
      </c>
      <c r="AO25" s="132">
        <f>(((AO36*-1)*AO2)-Assessment!$D$182)/Assessment!$D$182</f>
        <v>6.2101723381280278</v>
      </c>
      <c r="AP25" s="132">
        <f>(((AP36*-1)*AP2)-Assessment!$D$182)/Assessment!$D$182</f>
        <v>6.4087103681927449</v>
      </c>
      <c r="AQ25" s="132">
        <f>(((AQ36*-1)*AQ2)-Assessment!$D$182)/Assessment!$D$182</f>
        <v>6.6074533574287573</v>
      </c>
      <c r="AR25" s="132">
        <f>(((AR36*-1)*AR2)-Assessment!$D$182)/Assessment!$D$182</f>
        <v>6.8063735402510508</v>
      </c>
      <c r="AS25" s="132">
        <f>(((AS36*-1)*AS2)-Assessment!$D$182)/Assessment!$D$182</f>
        <v>7.0054467285277484</v>
      </c>
      <c r="AT25" s="132">
        <f>(((AT36*-1)*AT2)-Assessment!$D$182)/Assessment!$D$182</f>
        <v>7.2046518860849371</v>
      </c>
      <c r="AU25" s="132">
        <f>(((AU36*-1)*AU2)-Assessment!$D$182)/Assessment!$D$182</f>
        <v>7.4039707468314102</v>
      </c>
      <c r="AV25" s="132">
        <f>(((AV36*-1)*AV2)-Assessment!$D$182)/Assessment!$D$182</f>
        <v>7.6033874734712521</v>
      </c>
      <c r="AW25" s="132">
        <f>(((AW36*-1)*AW2)-Assessment!$D$182)/Assessment!$D$182</f>
        <v>7.8028883536533673</v>
      </c>
      <c r="AX25" s="132">
        <f>(((AX36*-1)*AX2)-Assessment!$D$182)/Assessment!$D$182</f>
        <v>8.0024615303907414</v>
      </c>
      <c r="AY25" s="132">
        <f>(((AY36*-1)*AY2)-Assessment!$D$182)/Assessment!$D$182</f>
        <v>8.2020967636430875</v>
      </c>
      <c r="AZ25" s="132">
        <f>(((AZ36*-1)*AZ2)-Assessment!$D$182)/Assessment!$D$182</f>
        <v>8.4017852200731991</v>
      </c>
      <c r="BA25" s="132">
        <f>(((BA36*-1)*BA2)-Assessment!$D$182)/Assessment!$D$182</f>
        <v>8.6015192881427289</v>
      </c>
      <c r="BB25" s="132">
        <f>(((BB36*-1)*BB2)-Assessment!$D$182)/Assessment!$D$182</f>
        <v>8.8012924158930819</v>
      </c>
      <c r="BC25" s="132">
        <f>(((BC36*-1)*BC2)-Assessment!$D$182)/Assessment!$D$182</f>
        <v>9.001098968951176</v>
      </c>
      <c r="BD25" s="132">
        <f>(((BD36*-1)*BD2)-Assessment!$D$182)/Assessment!$D$182</f>
        <v>9.2009341064992647</v>
      </c>
      <c r="BE25" s="132">
        <f>(((BE36*-1)*BE2)-Assessment!$D$182)/Assessment!$D$182</f>
        <v>9.4007936731468398</v>
      </c>
      <c r="BF25" s="132">
        <f>(((BF36*-1)*BF2)-Assessment!$D$182)/Assessment!$D$182</f>
        <v>9.6006741048359547</v>
      </c>
      <c r="BG25" s="132">
        <f>(((BG36*-1)*BG2)-Assessment!$D$182)/Assessment!$D$182</f>
        <v>9.8005723470962192</v>
      </c>
      <c r="BH25" s="132">
        <f>(((BH36*-1)*BH2)-Assessment!$D$182)/Assessment!$D$182</f>
        <v>10.000485784139737</v>
      </c>
      <c r="BI25" s="132">
        <f>(((BI36*-1)*BI2)-Assessment!$D$182)/Assessment!$D$182</f>
        <v>10.200412177448424</v>
      </c>
      <c r="BJ25" s="132">
        <f>(((BJ36*-1)*BJ2)-Assessment!$D$182)/Assessment!$D$182</f>
        <v>10.400349612655621</v>
      </c>
      <c r="BK25" s="132">
        <f>(((BK36*-1)*BK2)-Assessment!$D$182)/Assessment!$D$182</f>
        <v>10.600296453660558</v>
      </c>
      <c r="BL25" s="132">
        <f>(((BL36*-1)*BL2)-Assessment!$D$182)/Assessment!$D$182</f>
        <v>10.800251303038408</v>
      </c>
      <c r="BM25" s="132">
        <f>(((BM36*-1)*BM2)-Assessment!$D$182)/Assessment!$D$182</f>
        <v>11.000212967920692</v>
      </c>
      <c r="BN25" s="132">
        <f>(((BN36*-1)*BN2)-Assessment!$D$182)/Assessment!$D$182</f>
        <v>11.200180430621337</v>
      </c>
      <c r="BO25" s="132">
        <f>(((BO36*-1)*BO2)-Assessment!$D$182)/Assessment!$D$182</f>
        <v>11.400152823373617</v>
      </c>
      <c r="BP25" s="132">
        <f>(((BP36*-1)*BP2)-Assessment!$D$182)/Assessment!$D$182</f>
        <v>11.600129406623141</v>
      </c>
      <c r="BQ25" s="132">
        <f>(((BQ36*-1)*BQ2)-Assessment!$D$182)/Assessment!$D$182</f>
        <v>11.800109550392914</v>
      </c>
      <c r="BR25" s="132">
        <f>(((BR36*-1)*BR2)-Assessment!$D$182)/Assessment!$D$182</f>
        <v>12.00009271829925</v>
      </c>
      <c r="BS25" s="132">
        <f>(((BS36*-1)*BS2)-Assessment!$D$182)/Assessment!$D$182</f>
        <v>12.200078453852257</v>
      </c>
      <c r="BT25" s="132">
        <f>(((BT36*-1)*BT2)-Assessment!$D$182)/Assessment!$D$182</f>
        <v>12.400066368723419</v>
      </c>
      <c r="BU25" s="132">
        <f>(((BU36*-1)*BU2)-Assessment!$D$182)/Assessment!$D$182</f>
        <v>12.600056132704811</v>
      </c>
      <c r="BV25" s="132">
        <f>(((BV36*-1)*BV2)-Assessment!$D$182)/Assessment!$D$182</f>
        <v>12.800047465122153</v>
      </c>
      <c r="BW25" s="132">
        <f>(((BW36*-1)*BW2)-Assessment!$D$182)/Assessment!$D$182</f>
        <v>13.000040127495726</v>
      </c>
      <c r="BX25" s="132">
        <f>(((BX36*-1)*BX2)-Assessment!$D$182)/Assessment!$D$182</f>
        <v>13.200033917271853</v>
      </c>
      <c r="BY25" s="132">
        <f>(((BY36*-1)*BY2)-Assessment!$D$182)/Assessment!$D$182</f>
        <v>13.400028662471845</v>
      </c>
      <c r="BZ25" s="132">
        <f>(((BZ36*-1)*BZ2)-Assessment!$D$182)/Assessment!$D$182</f>
        <v>13.600024217126743</v>
      </c>
      <c r="CA25" s="132">
        <f>(((CA36*-1)*CA2)-Assessment!$D$182)/Assessment!$D$182</f>
        <v>13.800020457384514</v>
      </c>
      <c r="CB25" s="132">
        <f>(((CB36*-1)*CB2)-Assessment!$D$182)/Assessment!$D$182</f>
        <v>14.000017278192402</v>
      </c>
      <c r="CC25" s="132">
        <f>(((CC36*-1)*CC2)-Assessment!$D$182)/Assessment!$D$182</f>
        <v>14.200014590470783</v>
      </c>
      <c r="CD25" s="132">
        <f>(((CD36*-1)*CD2)-Assessment!$D$182)/Assessment!$D$182</f>
        <v>14.400012318706915</v>
      </c>
      <c r="CE25" s="132">
        <f>(((CE36*-1)*CE2)-Assessment!$D$182)/Assessment!$D$182</f>
        <v>14.600010398907049</v>
      </c>
      <c r="CF25" s="132">
        <f>(((CF36*-1)*CF2)-Assessment!$D$182)/Assessment!$D$182</f>
        <v>14.800008776854334</v>
      </c>
      <c r="CG25" s="132">
        <f>(((CG36*-1)*CG2)-Assessment!$D$182)/Assessment!$D$182</f>
        <v>15.000007406627443</v>
      </c>
      <c r="CH25" s="132">
        <f>(((CH36*-1)*CH2)-Assessment!$D$182)/Assessment!$D$182</f>
        <v>15.200006249341424</v>
      </c>
      <c r="CI25" s="132">
        <f>(((CI36*-1)*CI2)-Assessment!$D$182)/Assessment!$D$182</f>
        <v>15.400005272077815</v>
      </c>
      <c r="CJ25" s="132">
        <f>(((CJ36*-1)*CJ2)-Assessment!$D$182)/Assessment!$D$182</f>
        <v>15.600004446975969</v>
      </c>
      <c r="CK25" s="132">
        <f>(((CK36*-1)*CK2)-Assessment!$D$182)/Assessment!$D$182</f>
        <v>15.800003750461496</v>
      </c>
      <c r="CL25" s="132">
        <f>(((CL36*-1)*CL2)-Assessment!$D$182)/Assessment!$D$182</f>
        <v>16.000003162591419</v>
      </c>
      <c r="CM25" s="132">
        <f>(((CM36*-1)*CM2)-Assessment!$D$182)/Assessment!$D$182</f>
        <v>16.200002666498566</v>
      </c>
      <c r="CN25" s="132">
        <f>(((CN36*-1)*CN2)-Assessment!$D$182)/Assessment!$D$182</f>
        <v>16.400002247920245</v>
      </c>
      <c r="CO25" s="132">
        <f>(((CO36*-1)*CO2)-Assessment!$D$182)/Assessment!$D$182</f>
        <v>16.600001894798634</v>
      </c>
      <c r="CP25" s="132">
        <f>(((CP36*-1)*CP2)-Assessment!$D$182)/Assessment!$D$182</f>
        <v>16.800001596942003</v>
      </c>
      <c r="CQ25" s="132">
        <f>(((CQ36*-1)*CQ2)-Assessment!$D$182)/Assessment!$D$182</f>
        <v>17.000001345737619</v>
      </c>
      <c r="CR25" s="132">
        <f>(((CR36*-1)*CR2)-Assessment!$D$182)/Assessment!$D$182</f>
        <v>17.200001133908536</v>
      </c>
      <c r="CS25" s="132">
        <f>(((CS36*-1)*CS2)-Assessment!$D$182)/Assessment!$D$182</f>
        <v>17.400000955307551</v>
      </c>
      <c r="CT25" s="132">
        <f>(((CT36*-1)*CT2)-Assessment!$D$182)/Assessment!$D$182</f>
        <v>17.600000804742763</v>
      </c>
      <c r="CU25" s="132">
        <f>(((CU36*-1)*CU2)-Assessment!$D$182)/Assessment!$D$182</f>
        <v>17.800000677829924</v>
      </c>
      <c r="CV25" s="132">
        <f>(((CV36*-1)*CV2)-Assessment!$D$182)/Assessment!$D$182</f>
        <v>18.0000005708674</v>
      </c>
      <c r="CW25" s="132">
        <f>(((CW36*-1)*CW2)-Assessment!$D$182)/Assessment!$D$182</f>
        <v>18.200000480730438</v>
      </c>
      <c r="CX25" s="132">
        <f>(((CX36*-1)*CX2)-Assessment!$D$182)/Assessment!$D$182</f>
        <v>18.400000404781704</v>
      </c>
      <c r="CY25" s="132">
        <f>(((CY36*-1)*CY2)-Assessment!$D$182)/Assessment!$D$182</f>
        <v>18.600000340795592</v>
      </c>
      <c r="CZ25" s="132">
        <f>(((CZ36*-1)*CZ2)-Assessment!$D$182)/Assessment!$D$182</f>
        <v>18.800000286894253</v>
      </c>
      <c r="DA25" s="132">
        <f>(((DA36*-1)*DA2)-Assessment!$D$182)/Assessment!$D$182</f>
        <v>19.000000241493474</v>
      </c>
    </row>
    <row r="26" spans="1:105" s="133" customFormat="1" ht="22.5" customHeight="1" x14ac:dyDescent="0.2">
      <c r="A26" s="303"/>
      <c r="B26" s="305"/>
      <c r="C26" s="304"/>
      <c r="D26" s="130" t="s">
        <v>163</v>
      </c>
      <c r="E26" s="130"/>
      <c r="F26" s="132">
        <f>(((F37*-1)*F2)-Assessment!$D$182)/Assessment!$D$182</f>
        <v>4.9999999999999836E-2</v>
      </c>
      <c r="G26" s="132">
        <f>(((G37*-1)*G2)-Assessment!$D$182)/Assessment!$D$182</f>
        <v>7.5609756097560876E-2</v>
      </c>
      <c r="H26" s="132">
        <f>(((H37*-1)*H2)-Assessment!$D$182)/Assessment!$D$182</f>
        <v>0.1016256938937351</v>
      </c>
      <c r="I26" s="132">
        <f>(((I37*-1)*I2)-Assessment!$D$182)/Assessment!$D$182</f>
        <v>0.12804733041385105</v>
      </c>
      <c r="J26" s="183">
        <f>(((J37*-1)*J2)-Assessment!$D$182)/Assessment!$D$182</f>
        <v>0.15487399064134055</v>
      </c>
      <c r="K26" s="132">
        <f>(((K37*-1)*K2)-Assessment!$D$182)/Assessment!$D$182</f>
        <v>0.18210480866112966</v>
      </c>
      <c r="L26" s="132">
        <f>(((L37*-1)*L2)-Assessment!$D$182)/Assessment!$D$182</f>
        <v>0.20973872912319511</v>
      </c>
      <c r="M26" s="132">
        <f>(((M37*-1)*M2)-Assessment!$D$182)/Assessment!$D$182</f>
        <v>0.23777450902144917</v>
      </c>
      <c r="N26" s="132">
        <f>(((N37*-1)*N2)-Assessment!$D$182)/Assessment!$D$182</f>
        <v>0.26621071978209027</v>
      </c>
      <c r="O26" s="183">
        <f>(((O37*-1)*O2)-Assessment!$D$182)/Assessment!$D$182</f>
        <v>0.29504574965456681</v>
      </c>
      <c r="P26" s="132">
        <f>(((P37*-1)*P2)-Assessment!$D$182)/Assessment!$D$182</f>
        <v>0.3242778063973486</v>
      </c>
      <c r="Q26" s="132">
        <f>(((Q37*-1)*Q2)-Assessment!$D$182)/Assessment!$D$182</f>
        <v>0.35390492024978487</v>
      </c>
      <c r="R26" s="132">
        <f>(((R37*-1)*R2)-Assessment!$D$182)/Assessment!$D$182</f>
        <v>0.3839249471804595</v>
      </c>
      <c r="S26" s="132">
        <f>(((S37*-1)*S2)-Assessment!$D$182)/Assessment!$D$182</f>
        <v>0.41433557240164326</v>
      </c>
      <c r="T26" s="132">
        <f>(((T37*-1)*T2)-Assessment!$D$182)/Assessment!$D$182</f>
        <v>0.44513431413866567</v>
      </c>
      <c r="U26" s="132">
        <f>(((U37*-1)*U2)-Assessment!$D$182)/Assessment!$D$182</f>
        <v>0.47631852764233185</v>
      </c>
      <c r="V26" s="132">
        <f>(((V37*-1)*V2)-Assessment!$D$182)/Assessment!$D$182</f>
        <v>0.50788540943186378</v>
      </c>
      <c r="W26" s="132">
        <f>(((W37*-1)*W2)-Assessment!$D$182)/Assessment!$D$182</f>
        <v>0.53983200175524848</v>
      </c>
      <c r="X26" s="132">
        <f>(((X37*-1)*X2)-Assessment!$D$182)/Assessment!$D$182</f>
        <v>0.57215519725336883</v>
      </c>
      <c r="Y26" s="132">
        <f>(((Y37*-1)*Y2)-Assessment!$D$182)/Assessment!$D$182</f>
        <v>0.60485174381382634</v>
      </c>
      <c r="Z26" s="132">
        <f>(((Z37*-1)*Z2)-Assessment!$D$182)/Assessment!$D$182</f>
        <v>0.63791824959999155</v>
      </c>
      <c r="AA26" s="132">
        <f>(((AA37*-1)*AA2)-Assessment!$D$182)/Assessment!$D$182</f>
        <v>0.67135118824048046</v>
      </c>
      <c r="AB26" s="132">
        <f>(((AB37*-1)*AB2)-Assessment!$D$182)/Assessment!$D$182</f>
        <v>0.70514690416402248</v>
      </c>
      <c r="AC26" s="132">
        <f>(((AC37*-1)*AC2)-Assessment!$D$182)/Assessment!$D$182</f>
        <v>0.73930161806448802</v>
      </c>
      <c r="AD26" s="183">
        <f>(((AD37*-1)*AD2)-Assessment!$D$182)/Assessment!$D$182</f>
        <v>0.77381143248074047</v>
      </c>
      <c r="AE26" s="132">
        <f>(((AE37*-1)*AE2)-Assessment!$D$182)/Assessment!$D$182</f>
        <v>0.80867233747591105</v>
      </c>
      <c r="AF26" s="132">
        <f>(((AF37*-1)*AF2)-Assessment!$D$182)/Assessment!$D$182</f>
        <v>0.84388021640073041</v>
      </c>
      <c r="AG26" s="132">
        <f>(((AG37*-1)*AG2)-Assessment!$D$182)/Assessment!$D$182</f>
        <v>0.8794308517256092</v>
      </c>
      <c r="AH26" s="132">
        <f>(((AH37*-1)*AH2)-Assessment!$D$182)/Assessment!$D$182</f>
        <v>0.91531993092631847</v>
      </c>
      <c r="AI26" s="132">
        <f>(((AI37*-1)*AI2)-Assessment!$D$182)/Assessment!$D$182</f>
        <v>0.95154305240829762</v>
      </c>
      <c r="AJ26" s="132">
        <f>(((AJ37*-1)*AJ2)-Assessment!$D$182)/Assessment!$D$182</f>
        <v>0.98809573145489005</v>
      </c>
      <c r="AK26" s="132">
        <f>(((AK37*-1)*AK2)-Assessment!$D$182)/Assessment!$D$182</f>
        <v>1.0249734061850984</v>
      </c>
      <c r="AL26" s="132">
        <f>(((AL37*-1)*AL2)-Assessment!$D$182)/Assessment!$D$182</f>
        <v>1.0621714435068137</v>
      </c>
      <c r="AM26" s="132">
        <f>(((AM37*-1)*AM2)-Assessment!$D$182)/Assessment!$D$182</f>
        <v>1.0996851450518728</v>
      </c>
      <c r="AN26" s="132">
        <f>(((AN37*-1)*AN2)-Assessment!$D$182)/Assessment!$D$182</f>
        <v>1.1375097530797433</v>
      </c>
      <c r="AO26" s="132">
        <f>(((AO37*-1)*AO2)-Assessment!$D$182)/Assessment!$D$182</f>
        <v>1.1756404563371108</v>
      </c>
      <c r="AP26" s="132">
        <f>(((AP37*-1)*AP2)-Assessment!$D$182)/Assessment!$D$182</f>
        <v>1.2140723958611654</v>
      </c>
      <c r="AQ26" s="132">
        <f>(((AQ37*-1)*AQ2)-Assessment!$D$182)/Assessment!$D$182</f>
        <v>1.2528006707149471</v>
      </c>
      <c r="AR26" s="132">
        <f>(((AR37*-1)*AR2)-Assessment!$D$182)/Assessment!$D$182</f>
        <v>1.2918203436436448</v>
      </c>
      <c r="AS26" s="132">
        <f>(((AS37*-1)*AS2)-Assessment!$D$182)/Assessment!$D$182</f>
        <v>1.3311264466414001</v>
      </c>
      <c r="AT26" s="132">
        <f>(((AT37*-1)*AT2)-Assessment!$D$182)/Assessment!$D$182</f>
        <v>1.3707139864187234</v>
      </c>
      <c r="AU26" s="132">
        <f>(((AU37*-1)*AU2)-Assessment!$D$182)/Assessment!$D$182</f>
        <v>1.410577949761316</v>
      </c>
      <c r="AV26" s="132">
        <f>(((AV37*-1)*AV2)-Assessment!$D$182)/Assessment!$D$182</f>
        <v>1.4507133087717086</v>
      </c>
      <c r="AW26" s="132">
        <f>(((AW37*-1)*AW2)-Assessment!$D$182)/Assessment!$D$182</f>
        <v>1.4911150259857766</v>
      </c>
      <c r="AX26" s="132">
        <f>(((AX37*-1)*AX2)-Assessment!$D$182)/Assessment!$D$182</f>
        <v>1.5317780593568844</v>
      </c>
      <c r="AY26" s="132">
        <f>(((AY37*-1)*AY2)-Assessment!$D$182)/Assessment!$D$182</f>
        <v>1.5726973671010205</v>
      </c>
      <c r="AZ26" s="132">
        <f>(((AZ37*-1)*AZ2)-Assessment!$D$182)/Assessment!$D$182</f>
        <v>1.613867912396995</v>
      </c>
      <c r="BA26" s="132">
        <f>(((BA37*-1)*BA2)-Assessment!$D$182)/Assessment!$D$182</f>
        <v>1.6552846679363813</v>
      </c>
      <c r="BB26" s="132">
        <f>(((BB37*-1)*BB2)-Assessment!$D$182)/Assessment!$D$182</f>
        <v>1.6969426203185585</v>
      </c>
      <c r="BC26" s="132">
        <f>(((BC37*-1)*BC2)-Assessment!$D$182)/Assessment!$D$182</f>
        <v>1.7388367742868234</v>
      </c>
      <c r="BD26" s="132">
        <f>(((BD37*-1)*BD2)-Assessment!$D$182)/Assessment!$D$182</f>
        <v>1.7809621568021918</v>
      </c>
      <c r="BE26" s="132">
        <f>(((BE37*-1)*BE2)-Assessment!$D$182)/Assessment!$D$182</f>
        <v>1.8233138209520661</v>
      </c>
      <c r="BF26" s="132">
        <f>(((BF37*-1)*BF2)-Assessment!$D$182)/Assessment!$D$182</f>
        <v>1.865886849691603</v>
      </c>
      <c r="BG26" s="132">
        <f>(((BG37*-1)*BG2)-Assessment!$D$182)/Assessment!$D$182</f>
        <v>1.9086763594161211</v>
      </c>
      <c r="BH26" s="132">
        <f>(((BH37*-1)*BH2)-Assessment!$D$182)/Assessment!$D$182</f>
        <v>1.9516775033634679</v>
      </c>
      <c r="BI26" s="132">
        <f>(((BI37*-1)*BI2)-Assessment!$D$182)/Assessment!$D$182</f>
        <v>1.9948854748458094</v>
      </c>
      <c r="BJ26" s="132">
        <f>(((BJ37*-1)*BJ2)-Assessment!$D$182)/Assessment!$D$182</f>
        <v>2.0382955103107636</v>
      </c>
      <c r="BK26" s="132">
        <f>(((BK37*-1)*BK2)-Assessment!$D$182)/Assessment!$D$182</f>
        <v>2.0819028922323204</v>
      </c>
      <c r="BL26" s="132">
        <f>(((BL37*-1)*BL2)-Assessment!$D$182)/Assessment!$D$182</f>
        <v>2.1257029518324271</v>
      </c>
      <c r="BM26" s="132">
        <f>(((BM37*-1)*BM2)-Assessment!$D$182)/Assessment!$D$182</f>
        <v>2.1696910716345417</v>
      </c>
      <c r="BN26" s="132">
        <f>(((BN37*-1)*BN2)-Assessment!$D$182)/Assessment!$D$182</f>
        <v>2.2138626878508689</v>
      </c>
      <c r="BO26" s="132">
        <f>(((BO37*-1)*BO2)-Assessment!$D$182)/Assessment!$D$182</f>
        <v>2.2582132926053675</v>
      </c>
      <c r="BP26" s="132">
        <f>(((BP37*-1)*BP2)-Assessment!$D$182)/Assessment!$D$182</f>
        <v>2.3027384359949621</v>
      </c>
      <c r="BQ26" s="132">
        <f>(((BQ37*-1)*BQ2)-Assessment!$D$182)/Assessment!$D$182</f>
        <v>2.3474337279917035</v>
      </c>
      <c r="BR26" s="132">
        <f>(((BR37*-1)*BR2)-Assessment!$D$182)/Assessment!$D$182</f>
        <v>2.3922948401889532</v>
      </c>
      <c r="BS26" s="132">
        <f>(((BS37*-1)*BS2)-Assessment!$D$182)/Assessment!$D$182</f>
        <v>2.4373175073948867</v>
      </c>
      <c r="BT26" s="132">
        <f>(((BT37*-1)*BT2)-Assessment!$D$182)/Assessment!$D$182</f>
        <v>2.4824975290768911</v>
      </c>
      <c r="BU26" s="132">
        <f>(((BU37*-1)*BU2)-Assessment!$D$182)/Assessment!$D$182</f>
        <v>2.5278307706606418</v>
      </c>
      <c r="BV26" s="132">
        <f>(((BV37*-1)*BV2)-Assessment!$D$182)/Assessment!$D$182</f>
        <v>2.5733131646878094</v>
      </c>
      <c r="BW26" s="132">
        <f>(((BW37*-1)*BW2)-Assessment!$D$182)/Assessment!$D$182</f>
        <v>2.6189407118365762</v>
      </c>
      <c r="BX26" s="132">
        <f>(((BX37*-1)*BX2)-Assessment!$D$182)/Assessment!$D$182</f>
        <v>2.6647094818091985</v>
      </c>
      <c r="BY26" s="132">
        <f>(((BY37*-1)*BY2)-Assessment!$D$182)/Assessment!$D$182</f>
        <v>2.7106156140910773</v>
      </c>
      <c r="BZ26" s="132">
        <f>(((BZ37*-1)*BZ2)-Assessment!$D$182)/Assessment!$D$182</f>
        <v>2.7566553185858096</v>
      </c>
      <c r="CA26" s="132">
        <f>(((CA37*-1)*CA2)-Assessment!$D$182)/Assessment!$D$182</f>
        <v>2.8028248761308245</v>
      </c>
      <c r="CB26" s="132">
        <f>(((CB37*-1)*CB2)-Assessment!$D$182)/Assessment!$D$182</f>
        <v>2.8491206388982642</v>
      </c>
      <c r="CC26" s="132">
        <f>(((CC37*-1)*CC2)-Assessment!$D$182)/Assessment!$D$182</f>
        <v>2.8955390306857995</v>
      </c>
      <c r="CD26" s="132">
        <f>(((CD37*-1)*CD2)-Assessment!$D$182)/Assessment!$D$182</f>
        <v>2.9420765471020993</v>
      </c>
      <c r="CE26" s="132">
        <f>(((CE37*-1)*CE2)-Assessment!$D$182)/Assessment!$D$182</f>
        <v>2.9887297556516783</v>
      </c>
      <c r="CF26" s="132">
        <f>(((CF37*-1)*CF2)-Assessment!$D$182)/Assessment!$D$182</f>
        <v>3.0354952957238535</v>
      </c>
      <c r="CG26" s="132">
        <f>(((CG37*-1)*CG2)-Assessment!$D$182)/Assessment!$D$182</f>
        <v>3.0823698784905118</v>
      </c>
      <c r="CH26" s="132">
        <f>(((CH37*-1)*CH2)-Assessment!$D$182)/Assessment!$D$182</f>
        <v>3.1293502867173375</v>
      </c>
      <c r="CI26" s="132">
        <f>(((CI37*-1)*CI2)-Assessment!$D$182)/Assessment!$D$182</f>
        <v>3.1764333744931323</v>
      </c>
      <c r="CJ26" s="132">
        <f>(((CJ37*-1)*CJ2)-Assessment!$D$182)/Assessment!$D$182</f>
        <v>3.2236160668817804</v>
      </c>
      <c r="CK26" s="132">
        <f>(((CK37*-1)*CK2)-Assessment!$D$182)/Assessment!$D$182</f>
        <v>3.270895359501353</v>
      </c>
      <c r="CL26" s="132">
        <f>(((CL37*-1)*CL2)-Assessment!$D$182)/Assessment!$D$182</f>
        <v>3.3182683180347552</v>
      </c>
      <c r="CM26" s="132">
        <f>(((CM37*-1)*CM2)-Assessment!$D$182)/Assessment!$D$182</f>
        <v>3.3657320776762476</v>
      </c>
      <c r="CN26" s="132">
        <f>(((CN37*-1)*CN2)-Assessment!$D$182)/Assessment!$D$182</f>
        <v>3.413283842518068</v>
      </c>
      <c r="CO26" s="132">
        <f>(((CO37*-1)*CO2)-Assessment!$D$182)/Assessment!$D$182</f>
        <v>3.4609208848812809</v>
      </c>
      <c r="CP26" s="132">
        <f>(((CP37*-1)*CP2)-Assessment!$D$182)/Assessment!$D$182</f>
        <v>3.5086405445948845</v>
      </c>
      <c r="CQ26" s="132">
        <f>(((CQ37*-1)*CQ2)-Assessment!$D$182)/Assessment!$D$182</f>
        <v>3.556440228227066</v>
      </c>
      <c r="CR26" s="132">
        <f>(((CR37*-1)*CR2)-Assessment!$D$182)/Assessment!$D$182</f>
        <v>3.6043174082724163</v>
      </c>
      <c r="CS26" s="132">
        <f>(((CS37*-1)*CS2)-Assessment!$D$182)/Assessment!$D$182</f>
        <v>3.6522696222987721</v>
      </c>
      <c r="CT26" s="132">
        <f>(((CT37*-1)*CT2)-Assessment!$D$182)/Assessment!$D$182</f>
        <v>3.7002944720572222</v>
      </c>
      <c r="CU26" s="132">
        <f>(((CU37*-1)*CU2)-Assessment!$D$182)/Assessment!$D$182</f>
        <v>3.7483896225587228</v>
      </c>
      <c r="CV26" s="132">
        <f>(((CV37*-1)*CV2)-Assessment!$D$182)/Assessment!$D$182</f>
        <v>3.7965528011206016</v>
      </c>
      <c r="CW26" s="132">
        <f>(((CW37*-1)*CW2)-Assessment!$D$182)/Assessment!$D$182</f>
        <v>3.8447817963861328</v>
      </c>
      <c r="CX26" s="132">
        <f>(((CX37*-1)*CX2)-Assessment!$D$182)/Assessment!$D$182</f>
        <v>3.8930744573202163</v>
      </c>
      <c r="CY26" s="132">
        <f>(((CY37*-1)*CY2)-Assessment!$D$182)/Assessment!$D$182</f>
        <v>3.9414286921840724</v>
      </c>
      <c r="CZ26" s="132">
        <f>(((CZ37*-1)*CZ2)-Assessment!$D$182)/Assessment!$D$182</f>
        <v>3.9898424674917554</v>
      </c>
      <c r="DA26" s="132">
        <f>(((DA37*-1)*DA2)-Assessment!$D$182)/Assessment!$D$182</f>
        <v>4.0383138069511082</v>
      </c>
    </row>
    <row r="27" spans="1:105" ht="25.5" x14ac:dyDescent="0.2">
      <c r="A27" s="302" t="s">
        <v>261</v>
      </c>
      <c r="B27" s="305" t="s">
        <v>289</v>
      </c>
      <c r="C27" s="304" t="str">
        <f>Assessment!C$222</f>
        <v>--Loft top-up loft insulation (150 to 270mm), 50% client funded-----</v>
      </c>
      <c r="D27" s="130" t="s">
        <v>162</v>
      </c>
      <c r="E27" s="143">
        <v>0.22363517023115828</v>
      </c>
      <c r="F27" s="155">
        <f>Assessment!$D$182/(F36*-1)</f>
        <v>0.83333333333333315</v>
      </c>
      <c r="G27" s="155">
        <f>Assessment!$D$182/(G36*-1)</f>
        <v>1.5277777777777775</v>
      </c>
      <c r="H27" s="155">
        <f>Assessment!$D$182/(H36*-1)</f>
        <v>2.1064814814814814</v>
      </c>
      <c r="I27" s="155">
        <f>Assessment!$D$182/(I36*-1)</f>
        <v>2.5887345679012337</v>
      </c>
      <c r="J27" s="187">
        <f>Assessment!$D$182/(J36*-1)</f>
        <v>2.9906121399176953</v>
      </c>
      <c r="K27" s="155">
        <f>Assessment!$D$182/(K36*-1)</f>
        <v>3.3255101165980792</v>
      </c>
      <c r="L27" s="155">
        <f>Assessment!$D$182/(L36*-1)</f>
        <v>3.6045917638317322</v>
      </c>
      <c r="M27" s="155">
        <f>Assessment!$D$182/(M36*-1)</f>
        <v>3.8371598031931105</v>
      </c>
      <c r="N27" s="155">
        <f>Assessment!$D$182/(N36*-1)</f>
        <v>4.0309665026609256</v>
      </c>
      <c r="O27" s="187">
        <f>Assessment!$D$182/(O36*-1)</f>
        <v>4.1924720855507704</v>
      </c>
      <c r="P27" s="155">
        <f>Assessment!$D$182/(P36*-1)</f>
        <v>4.3270600712923093</v>
      </c>
      <c r="Q27" s="155">
        <f>Assessment!$D$182/(Q36*-1)</f>
        <v>4.439216726076924</v>
      </c>
      <c r="R27" s="155">
        <f>Assessment!$D$182/(R36*-1)</f>
        <v>4.5326806050641038</v>
      </c>
      <c r="S27" s="155">
        <f>Assessment!$D$182/(S36*-1)</f>
        <v>4.6105671708867533</v>
      </c>
      <c r="T27" s="155">
        <f>Assessment!$D$182/(T36*-1)</f>
        <v>4.6754726424056274</v>
      </c>
      <c r="U27" s="155">
        <f>Assessment!$D$182/(U36*-1)</f>
        <v>4.729560535338023</v>
      </c>
      <c r="V27" s="155">
        <f>Assessment!$D$182/(V36*-1)</f>
        <v>4.7746337794483527</v>
      </c>
      <c r="W27" s="155">
        <f>Assessment!$D$182/(W36*-1)</f>
        <v>4.8121948162069605</v>
      </c>
      <c r="X27" s="155">
        <f>Assessment!$D$182/(X36*-1)</f>
        <v>4.8434956801724676</v>
      </c>
      <c r="Y27" s="155">
        <f>Assessment!$D$182/(Y36*-1)</f>
        <v>4.869579733477055</v>
      </c>
      <c r="Z27" s="155">
        <f>Assessment!$D$182/(Z36*-1)</f>
        <v>4.8913164445642128</v>
      </c>
      <c r="AA27" s="155">
        <f>Assessment!$D$182/(AA36*-1)</f>
        <v>4.9094303704701767</v>
      </c>
      <c r="AB27" s="155">
        <f>Assessment!$D$182/(AB36*-1)</f>
        <v>4.9245253087251477</v>
      </c>
      <c r="AC27" s="155">
        <f>Assessment!$D$182/(AC36*-1)</f>
        <v>4.9371044239376225</v>
      </c>
      <c r="AD27" s="187">
        <f>Assessment!$D$182/(AD36*-1)</f>
        <v>4.9475870199480187</v>
      </c>
      <c r="AE27" s="155">
        <f>Assessment!$D$182/(AE36*-1)</f>
        <v>4.9563225166233487</v>
      </c>
      <c r="AF27" s="155">
        <f>Assessment!$D$182/(AF36*-1)</f>
        <v>4.9636020971861248</v>
      </c>
      <c r="AG27" s="155">
        <f>Assessment!$D$182/(AG36*-1)</f>
        <v>4.9696684143217711</v>
      </c>
      <c r="AH27" s="155">
        <f>Assessment!$D$182/(AH36*-1)</f>
        <v>4.9747236786014755</v>
      </c>
      <c r="AI27" s="155">
        <f>Assessment!$D$182/(AI36*-1)</f>
        <v>4.9789363988345618</v>
      </c>
      <c r="AJ27" s="155">
        <f>Assessment!$D$182/(AJ36*-1)</f>
        <v>4.9824469990288014</v>
      </c>
      <c r="AK27" s="155">
        <f>Assessment!$D$182/(AK36*-1)</f>
        <v>4.9853724991906692</v>
      </c>
      <c r="AL27" s="155">
        <f>Assessment!$D$182/(AL36*-1)</f>
        <v>4.9878104159922234</v>
      </c>
      <c r="AM27" s="155">
        <f>Assessment!$D$182/(AM36*-1)</f>
        <v>4.9898420133268537</v>
      </c>
      <c r="AN27" s="155">
        <f>Assessment!$D$182/(AN36*-1)</f>
        <v>4.9915350111057109</v>
      </c>
      <c r="AO27" s="155">
        <f>Assessment!$D$182/(AO36*-1)</f>
        <v>4.9929458425880924</v>
      </c>
      <c r="AP27" s="155">
        <f>Assessment!$D$182/(AP36*-1)</f>
        <v>4.9941215354900761</v>
      </c>
      <c r="AQ27" s="155">
        <f>Assessment!$D$182/(AQ36*-1)</f>
        <v>4.9951012795750644</v>
      </c>
      <c r="AR27" s="155">
        <f>Assessment!$D$182/(AR36*-1)</f>
        <v>4.9959177329792199</v>
      </c>
      <c r="AS27" s="155">
        <f>Assessment!$D$182/(AS36*-1)</f>
        <v>4.9965981108160156</v>
      </c>
      <c r="AT27" s="155">
        <f>Assessment!$D$182/(AT36*-1)</f>
        <v>4.9971650923466804</v>
      </c>
      <c r="AU27" s="155">
        <f>Assessment!$D$182/(AU36*-1)</f>
        <v>4.997637576955567</v>
      </c>
      <c r="AV27" s="155">
        <f>Assessment!$D$182/(AV36*-1)</f>
        <v>4.9980313141296397</v>
      </c>
      <c r="AW27" s="155">
        <f>Assessment!$D$182/(AW36*-1)</f>
        <v>4.9983594284413666</v>
      </c>
      <c r="AX27" s="155">
        <f>Assessment!$D$182/(AX36*-1)</f>
        <v>4.9986328570344716</v>
      </c>
      <c r="AY27" s="155">
        <f>Assessment!$D$182/(AY36*-1)</f>
        <v>4.998860714195394</v>
      </c>
      <c r="AZ27" s="155">
        <f>Assessment!$D$182/(AZ36*-1)</f>
        <v>4.999050595162827</v>
      </c>
      <c r="BA27" s="155">
        <f>Assessment!$D$182/(BA36*-1)</f>
        <v>4.999208829302356</v>
      </c>
      <c r="BB27" s="155">
        <f>Assessment!$D$182/(BB36*-1)</f>
        <v>4.9993406910852967</v>
      </c>
      <c r="BC27" s="155">
        <f>Assessment!$D$182/(BC36*-1)</f>
        <v>4.9994505759044134</v>
      </c>
      <c r="BD27" s="155">
        <f>Assessment!$D$182/(BD36*-1)</f>
        <v>4.9995421465870118</v>
      </c>
      <c r="BE27" s="155">
        <f>Assessment!$D$182/(BE36*-1)</f>
        <v>4.999618455489176</v>
      </c>
      <c r="BF27" s="155">
        <f>Assessment!$D$182/(BF36*-1)</f>
        <v>4.9996820462409808</v>
      </c>
      <c r="BG27" s="155">
        <f>Assessment!$D$182/(BG36*-1)</f>
        <v>4.9997350385341504</v>
      </c>
      <c r="BH27" s="155">
        <f>Assessment!$D$182/(BH36*-1)</f>
        <v>4.9997791987784579</v>
      </c>
      <c r="BI27" s="155">
        <f>Assessment!$D$182/(BI36*-1)</f>
        <v>4.999815998982049</v>
      </c>
      <c r="BJ27" s="155">
        <f>Assessment!$D$182/(BJ36*-1)</f>
        <v>4.9998466658183736</v>
      </c>
      <c r="BK27" s="155">
        <f>Assessment!$D$182/(BK36*-1)</f>
        <v>4.9998722215153109</v>
      </c>
      <c r="BL27" s="155">
        <f>Assessment!$D$182/(BL36*-1)</f>
        <v>4.9998935179294257</v>
      </c>
      <c r="BM27" s="155">
        <f>Assessment!$D$182/(BM36*-1)</f>
        <v>4.9999112649411881</v>
      </c>
      <c r="BN27" s="155">
        <f>Assessment!$D$182/(BN36*-1)</f>
        <v>4.9999260541176573</v>
      </c>
      <c r="BO27" s="155">
        <f>Assessment!$D$182/(BO36*-1)</f>
        <v>4.9999383784313807</v>
      </c>
      <c r="BP27" s="155">
        <f>Assessment!$D$182/(BP36*-1)</f>
        <v>4.9999486486928166</v>
      </c>
      <c r="BQ27" s="155">
        <f>Assessment!$D$182/(BQ36*-1)</f>
        <v>4.999957207244015</v>
      </c>
      <c r="BR27" s="155">
        <f>Assessment!$D$182/(BR36*-1)</f>
        <v>4.9999643393700115</v>
      </c>
      <c r="BS27" s="155">
        <f>Assessment!$D$182/(BS36*-1)</f>
        <v>4.9999702828083441</v>
      </c>
      <c r="BT27" s="155">
        <f>Assessment!$D$182/(BT36*-1)</f>
        <v>4.9999752356736185</v>
      </c>
      <c r="BU27" s="155">
        <f>Assessment!$D$182/(BU36*-1)</f>
        <v>4.9999793630613505</v>
      </c>
      <c r="BV27" s="155">
        <f>Assessment!$D$182/(BV36*-1)</f>
        <v>4.9999828025511244</v>
      </c>
      <c r="BW27" s="155">
        <f>Assessment!$D$182/(BW36*-1)</f>
        <v>4.9999856687926041</v>
      </c>
      <c r="BX27" s="155">
        <f>Assessment!$D$182/(BX36*-1)</f>
        <v>4.9999880573271689</v>
      </c>
      <c r="BY27" s="155">
        <f>Assessment!$D$182/(BY36*-1)</f>
        <v>4.9999900477726413</v>
      </c>
      <c r="BZ27" s="155">
        <f>Assessment!$D$182/(BZ36*-1)</f>
        <v>4.9999917064772008</v>
      </c>
      <c r="CA27" s="155">
        <f>Assessment!$D$182/(CA36*-1)</f>
        <v>4.9999930887310011</v>
      </c>
      <c r="CB27" s="155">
        <f>Assessment!$D$182/(CB36*-1)</f>
        <v>4.9999942406091673</v>
      </c>
      <c r="CC27" s="155">
        <f>Assessment!$D$182/(CC36*-1)</f>
        <v>4.9999952005076391</v>
      </c>
      <c r="CD27" s="155">
        <f>Assessment!$D$182/(CD36*-1)</f>
        <v>4.9999960004230326</v>
      </c>
      <c r="CE27" s="155">
        <f>Assessment!$D$182/(CE36*-1)</f>
        <v>4.999996667019194</v>
      </c>
      <c r="CF27" s="155">
        <f>Assessment!$D$182/(CF36*-1)</f>
        <v>4.9999972225159945</v>
      </c>
      <c r="CG27" s="155">
        <f>Assessment!$D$182/(CG36*-1)</f>
        <v>4.9999976854299959</v>
      </c>
      <c r="CH27" s="155">
        <f>Assessment!$D$182/(CH36*-1)</f>
        <v>4.999998071191663</v>
      </c>
      <c r="CI27" s="155">
        <f>Assessment!$D$182/(CI36*-1)</f>
        <v>4.9999983926597196</v>
      </c>
      <c r="CJ27" s="155">
        <f>Assessment!$D$182/(CJ36*-1)</f>
        <v>4.9999986605497657</v>
      </c>
      <c r="CK27" s="155">
        <f>Assessment!$D$182/(CK36*-1)</f>
        <v>4.9999988837914717</v>
      </c>
      <c r="CL27" s="155">
        <f>Assessment!$D$182/(CL36*-1)</f>
        <v>4.9999990698262264</v>
      </c>
      <c r="CM27" s="155">
        <f>Assessment!$D$182/(CM36*-1)</f>
        <v>4.9999992248551886</v>
      </c>
      <c r="CN27" s="155">
        <f>Assessment!$D$182/(CN36*-1)</f>
        <v>4.9999993540459897</v>
      </c>
      <c r="CO27" s="155">
        <f>Assessment!$D$182/(CO36*-1)</f>
        <v>4.9999994617049914</v>
      </c>
      <c r="CP27" s="155">
        <f>Assessment!$D$182/(CP36*-1)</f>
        <v>4.9999995514208271</v>
      </c>
      <c r="CQ27" s="155">
        <f>Assessment!$D$182/(CQ36*-1)</f>
        <v>4.9999996261840227</v>
      </c>
      <c r="CR27" s="155">
        <f>Assessment!$D$182/(CR36*-1)</f>
        <v>4.9999996884866844</v>
      </c>
      <c r="CS27" s="155">
        <f>Assessment!$D$182/(CS36*-1)</f>
        <v>4.9999997404055714</v>
      </c>
      <c r="CT27" s="155">
        <f>Assessment!$D$182/(CT36*-1)</f>
        <v>4.9999997836713099</v>
      </c>
      <c r="CU27" s="155">
        <f>Assessment!$D$182/(CU36*-1)</f>
        <v>4.9999998197260904</v>
      </c>
      <c r="CV27" s="155">
        <f>Assessment!$D$182/(CV36*-1)</f>
        <v>4.9999998497717417</v>
      </c>
      <c r="CW27" s="155">
        <f>Assessment!$D$182/(CW36*-1)</f>
        <v>4.9999998748097854</v>
      </c>
      <c r="CX27" s="155">
        <f>Assessment!$D$182/(CX36*-1)</f>
        <v>4.9999998956748204</v>
      </c>
      <c r="CY27" s="155">
        <f>Assessment!$D$182/(CY36*-1)</f>
        <v>4.9999999130623509</v>
      </c>
      <c r="CZ27" s="155">
        <f>Assessment!$D$182/(CZ36*-1)</f>
        <v>4.9999999275519587</v>
      </c>
      <c r="DA27" s="155">
        <f>Assessment!$D$182/(DA36*-1)</f>
        <v>4.9999999396266324</v>
      </c>
    </row>
    <row r="28" spans="1:105" ht="25.5" x14ac:dyDescent="0.2">
      <c r="A28" s="303"/>
      <c r="B28" s="305"/>
      <c r="C28" s="304"/>
      <c r="D28" s="130" t="s">
        <v>163</v>
      </c>
      <c r="E28" s="132">
        <v>0.55754817856094452</v>
      </c>
      <c r="F28" s="155">
        <f>Assessment!$D$182/(F37*-1)</f>
        <v>0.95238095238095255</v>
      </c>
      <c r="G28" s="155">
        <f>Assessment!$D$182/(G37*-1)</f>
        <v>1.8594104308390025</v>
      </c>
      <c r="H28" s="155">
        <f>Assessment!$D$182/(H37*-1)</f>
        <v>2.7232480293704784</v>
      </c>
      <c r="I28" s="155">
        <f>Assessment!$D$182/(I37*-1)</f>
        <v>3.5459505041623607</v>
      </c>
      <c r="J28" s="187">
        <f>Assessment!$D$182/(J37*-1)</f>
        <v>4.3294766706308199</v>
      </c>
      <c r="K28" s="155">
        <f>Assessment!$D$182/(K37*-1)</f>
        <v>5.0756920672674477</v>
      </c>
      <c r="L28" s="155">
        <f>Assessment!$D$182/(L37*-1)</f>
        <v>5.7863733973975693</v>
      </c>
      <c r="M28" s="155">
        <f>Assessment!$D$182/(M37*-1)</f>
        <v>6.4632127594262565</v>
      </c>
      <c r="N28" s="155">
        <f>Assessment!$D$182/(N37*-1)</f>
        <v>7.1078216756440531</v>
      </c>
      <c r="O28" s="187">
        <f>Assessment!$D$182/(O37*-1)</f>
        <v>7.7217349291848132</v>
      </c>
      <c r="P28" s="155">
        <f>Assessment!$D$182/(P37*-1)</f>
        <v>8.3064142182712519</v>
      </c>
      <c r="Q28" s="155">
        <f>Assessment!$D$182/(Q37*-1)</f>
        <v>8.8632516364488083</v>
      </c>
      <c r="R28" s="155">
        <f>Assessment!$D$182/(R37*-1)</f>
        <v>9.3935729870941049</v>
      </c>
      <c r="S28" s="155">
        <f>Assessment!$D$182/(S37*-1)</f>
        <v>9.8986409400896243</v>
      </c>
      <c r="T28" s="155">
        <f>Assessment!$D$182/(T37*-1)</f>
        <v>10.379658038180594</v>
      </c>
      <c r="U28" s="155">
        <f>Assessment!$D$182/(U37*-1)</f>
        <v>10.837769560171994</v>
      </c>
      <c r="V28" s="155">
        <f>Assessment!$D$182/(V37*-1)</f>
        <v>11.274066247782851</v>
      </c>
      <c r="W28" s="155">
        <f>Assessment!$D$182/(W37*-1)</f>
        <v>11.689586902650335</v>
      </c>
      <c r="X28" s="155">
        <f>Assessment!$D$182/(X37*-1)</f>
        <v>12.085320859666984</v>
      </c>
      <c r="Y28" s="155">
        <f>Assessment!$D$182/(Y37*-1)</f>
        <v>12.462210342539986</v>
      </c>
      <c r="Z28" s="155">
        <f>Assessment!$D$182/(Z37*-1)</f>
        <v>12.821152707180941</v>
      </c>
      <c r="AA28" s="155">
        <f>Assessment!$D$182/(AA37*-1)</f>
        <v>13.163002578267562</v>
      </c>
      <c r="AB28" s="155">
        <f>Assessment!$D$182/(AB37*-1)</f>
        <v>13.488573884064344</v>
      </c>
      <c r="AC28" s="155">
        <f>Assessment!$D$182/(AC37*-1)</f>
        <v>13.798641794346995</v>
      </c>
      <c r="AD28" s="187">
        <f>Assessment!$D$182/(AD37*-1)</f>
        <v>14.093944566044756</v>
      </c>
      <c r="AE28" s="155">
        <f>Assessment!$D$182/(AE37*-1)</f>
        <v>14.375185300995009</v>
      </c>
      <c r="AF28" s="155">
        <f>Assessment!$D$182/(AF37*-1)</f>
        <v>14.643033619995244</v>
      </c>
      <c r="AG28" s="155">
        <f>Assessment!$D$182/(AG37*-1)</f>
        <v>14.898127257138327</v>
      </c>
      <c r="AH28" s="155">
        <f>Assessment!$D$182/(AH37*-1)</f>
        <v>15.141073578226978</v>
      </c>
      <c r="AI28" s="155">
        <f>Assessment!$D$182/(AI37*-1)</f>
        <v>15.372451026882837</v>
      </c>
      <c r="AJ28" s="155">
        <f>Assessment!$D$182/(AJ37*-1)</f>
        <v>15.592810501793178</v>
      </c>
      <c r="AK28" s="155">
        <f>Assessment!$D$182/(AK37*-1)</f>
        <v>15.802676668374454</v>
      </c>
      <c r="AL28" s="155">
        <f>Assessment!$D$182/(AL37*-1)</f>
        <v>16.002549207975669</v>
      </c>
      <c r="AM28" s="155">
        <f>Assessment!$D$182/(AM37*-1)</f>
        <v>16.192904007595878</v>
      </c>
      <c r="AN28" s="155">
        <f>Assessment!$D$182/(AN37*-1)</f>
        <v>16.374194292948456</v>
      </c>
      <c r="AO28" s="155">
        <f>Assessment!$D$182/(AO37*-1)</f>
        <v>16.546851707569957</v>
      </c>
      <c r="AP28" s="155">
        <f>Assessment!$D$182/(AP37*-1)</f>
        <v>16.711287340542818</v>
      </c>
      <c r="AQ28" s="155">
        <f>Assessment!$D$182/(AQ37*-1)</f>
        <v>16.867892705278869</v>
      </c>
      <c r="AR28" s="155">
        <f>Assessment!$D$182/(AR37*-1)</f>
        <v>17.017040671694161</v>
      </c>
      <c r="AS28" s="155">
        <f>Assessment!$D$182/(AS37*-1)</f>
        <v>17.159086353994439</v>
      </c>
      <c r="AT28" s="155">
        <f>Assessment!$D$182/(AT37*-1)</f>
        <v>17.29436795618518</v>
      </c>
      <c r="AU28" s="155">
        <f>Assessment!$D$182/(AU37*-1)</f>
        <v>17.423207577319225</v>
      </c>
      <c r="AV28" s="155">
        <f>Assessment!$D$182/(AV37*-1)</f>
        <v>17.545911978399257</v>
      </c>
      <c r="AW28" s="155">
        <f>Assessment!$D$182/(AW37*-1)</f>
        <v>17.6627733127612</v>
      </c>
      <c r="AX28" s="155">
        <f>Assessment!$D$182/(AX37*-1)</f>
        <v>17.774069821677333</v>
      </c>
      <c r="AY28" s="155">
        <f>Assessment!$D$182/(AY37*-1)</f>
        <v>17.880066496835553</v>
      </c>
      <c r="AZ28" s="155">
        <f>Assessment!$D$182/(AZ37*-1)</f>
        <v>17.981015711271958</v>
      </c>
      <c r="BA28" s="155">
        <f>Assessment!$D$182/(BA37*-1)</f>
        <v>18.077157820259007</v>
      </c>
      <c r="BB28" s="155">
        <f>Assessment!$D$182/(BB37*-1)</f>
        <v>18.168721733580004</v>
      </c>
      <c r="BC28" s="155">
        <f>Assessment!$D$182/(BC37*-1)</f>
        <v>18.25592546055239</v>
      </c>
      <c r="BD28" s="155">
        <f>Assessment!$D$182/(BD37*-1)</f>
        <v>18.338976629097512</v>
      </c>
      <c r="BE28" s="155">
        <f>Assessment!$D$182/(BE37*-1)</f>
        <v>18.418072980092866</v>
      </c>
      <c r="BF28" s="155">
        <f>Assessment!$D$182/(BF37*-1)</f>
        <v>18.493402838183687</v>
      </c>
      <c r="BG28" s="155">
        <f>Assessment!$D$182/(BG37*-1)</f>
        <v>18.565145560174937</v>
      </c>
      <c r="BH28" s="155">
        <f>Assessment!$D$182/(BH37*-1)</f>
        <v>18.633471962071368</v>
      </c>
      <c r="BI28" s="155">
        <f>Assessment!$D$182/(BI37*-1)</f>
        <v>18.698544725782256</v>
      </c>
      <c r="BJ28" s="155">
        <f>Assessment!$D$182/(BJ37*-1)</f>
        <v>18.76051878645929</v>
      </c>
      <c r="BK28" s="155">
        <f>Assessment!$D$182/(BK37*-1)</f>
        <v>18.819541701389802</v>
      </c>
      <c r="BL28" s="155">
        <f>Assessment!$D$182/(BL37*-1)</f>
        <v>18.875754001323621</v>
      </c>
      <c r="BM28" s="155">
        <f>Assessment!$D$182/(BM37*-1)</f>
        <v>18.929289525070114</v>
      </c>
      <c r="BN28" s="155">
        <f>Assessment!$D$182/(BN37*-1)</f>
        <v>18.980275738162014</v>
      </c>
      <c r="BO28" s="155">
        <f>Assessment!$D$182/(BO37*-1)</f>
        <v>19.028834036344772</v>
      </c>
      <c r="BP28" s="155">
        <f>Assessment!$D$182/(BP37*-1)</f>
        <v>19.075080034614068</v>
      </c>
      <c r="BQ28" s="155">
        <f>Assessment!$D$182/(BQ37*-1)</f>
        <v>19.119123842489593</v>
      </c>
      <c r="BR28" s="155">
        <f>Assessment!$D$182/(BR37*-1)</f>
        <v>19.161070326180564</v>
      </c>
      <c r="BS28" s="155">
        <f>Assessment!$D$182/(BS37*-1)</f>
        <v>19.201019358267207</v>
      </c>
      <c r="BT28" s="155">
        <f>Assessment!$D$182/(BT37*-1)</f>
        <v>19.239066055492579</v>
      </c>
      <c r="BU28" s="155">
        <f>Assessment!$D$182/(BU37*-1)</f>
        <v>19.275301005231022</v>
      </c>
      <c r="BV28" s="155">
        <f>Assessment!$D$182/(BV37*-1)</f>
        <v>19.309810481172406</v>
      </c>
      <c r="BW28" s="155">
        <f>Assessment!$D$182/(BW37*-1)</f>
        <v>19.342676648735619</v>
      </c>
      <c r="BX28" s="155">
        <f>Assessment!$D$182/(BX37*-1)</f>
        <v>19.373977760700591</v>
      </c>
      <c r="BY28" s="155">
        <f>Assessment!$D$182/(BY37*-1)</f>
        <v>19.403788343524376</v>
      </c>
      <c r="BZ28" s="155">
        <f>Assessment!$D$182/(BZ37*-1)</f>
        <v>19.432179374785118</v>
      </c>
      <c r="CA28" s="155">
        <f>Assessment!$D$182/(CA37*-1)</f>
        <v>19.459218452176298</v>
      </c>
      <c r="CB28" s="155">
        <f>Assessment!$D$182/(CB37*-1)</f>
        <v>19.484969954453618</v>
      </c>
      <c r="CC28" s="155">
        <f>Assessment!$D$182/(CC37*-1)</f>
        <v>19.509495194717736</v>
      </c>
      <c r="CD28" s="155">
        <f>Assessment!$D$182/(CD37*-1)</f>
        <v>19.532852566397843</v>
      </c>
      <c r="CE28" s="155">
        <f>Assessment!$D$182/(CE37*-1)</f>
        <v>19.555097682283659</v>
      </c>
      <c r="CF28" s="155">
        <f>Assessment!$D$182/(CF37*-1)</f>
        <v>19.576283506936822</v>
      </c>
      <c r="CG28" s="155">
        <f>Assessment!$D$182/(CG37*-1)</f>
        <v>19.596460482796971</v>
      </c>
      <c r="CH28" s="155">
        <f>Assessment!$D$182/(CH37*-1)</f>
        <v>19.615676650282833</v>
      </c>
      <c r="CI28" s="155">
        <f>Assessment!$D$182/(CI37*-1)</f>
        <v>19.633977762174123</v>
      </c>
      <c r="CJ28" s="155">
        <f>Assessment!$D$182/(CJ37*-1)</f>
        <v>19.651407392546783</v>
      </c>
      <c r="CK28" s="155">
        <f>Assessment!$D$182/(CK37*-1)</f>
        <v>19.668007040520745</v>
      </c>
      <c r="CL28" s="155">
        <f>Assessment!$D$182/(CL37*-1)</f>
        <v>19.683816229067375</v>
      </c>
      <c r="CM28" s="155">
        <f>Assessment!$D$182/(CM37*-1)</f>
        <v>19.698872599111784</v>
      </c>
      <c r="CN28" s="155">
        <f>Assessment!$D$182/(CN37*-1)</f>
        <v>19.71321199915408</v>
      </c>
      <c r="CO28" s="155">
        <f>Assessment!$D$182/(CO37*-1)</f>
        <v>19.726868570622937</v>
      </c>
      <c r="CP28" s="155">
        <f>Assessment!$D$182/(CP37*-1)</f>
        <v>19.739874829164702</v>
      </c>
      <c r="CQ28" s="155">
        <f>Assessment!$D$182/(CQ37*-1)</f>
        <v>19.75226174206162</v>
      </c>
      <c r="CR28" s="155">
        <f>Assessment!$D$182/(CR37*-1)</f>
        <v>19.764058801963451</v>
      </c>
      <c r="CS28" s="155">
        <f>Assessment!$D$182/(CS37*-1)</f>
        <v>19.775294097108048</v>
      </c>
      <c r="CT28" s="155">
        <f>Assessment!$D$182/(CT37*-1)</f>
        <v>19.78599437819814</v>
      </c>
      <c r="CU28" s="155">
        <f>Assessment!$D$182/(CU37*-1)</f>
        <v>19.796185122093465</v>
      </c>
      <c r="CV28" s="155">
        <f>Assessment!$D$182/(CV37*-1)</f>
        <v>19.805890592469968</v>
      </c>
      <c r="CW28" s="155">
        <f>Assessment!$D$182/(CW37*-1)</f>
        <v>19.815133897590446</v>
      </c>
      <c r="CX28" s="155">
        <f>Assessment!$D$182/(CX37*-1)</f>
        <v>19.823937045324232</v>
      </c>
      <c r="CY28" s="155">
        <f>Assessment!$D$182/(CY37*-1)</f>
        <v>19.83232099554689</v>
      </c>
      <c r="CZ28" s="155">
        <f>Assessment!$D$182/(CZ37*-1)</f>
        <v>19.840305710044657</v>
      </c>
      <c r="DA28" s="155">
        <f>Assessment!$D$182/(DA37*-1)</f>
        <v>19.847910200042527</v>
      </c>
    </row>
    <row r="29" spans="1:105" x14ac:dyDescent="0.2">
      <c r="A29" s="157"/>
      <c r="B29" s="164"/>
      <c r="C29" s="142"/>
      <c r="E29" s="132"/>
      <c r="F29" s="155"/>
      <c r="G29" s="155"/>
      <c r="H29" s="155"/>
      <c r="I29" s="155"/>
      <c r="J29" s="187"/>
      <c r="K29" s="155"/>
      <c r="L29" s="155"/>
      <c r="M29" s="155"/>
      <c r="N29" s="155"/>
      <c r="O29" s="187"/>
      <c r="P29" s="155"/>
      <c r="Q29" s="155"/>
      <c r="R29" s="155"/>
      <c r="S29" s="155"/>
      <c r="T29" s="155"/>
      <c r="U29" s="155"/>
      <c r="V29" s="155"/>
      <c r="W29" s="155"/>
      <c r="X29" s="155"/>
      <c r="Y29" s="155"/>
      <c r="Z29" s="155"/>
      <c r="AA29" s="155"/>
      <c r="AB29" s="155"/>
      <c r="AC29" s="155"/>
      <c r="AD29" s="187"/>
    </row>
    <row r="30" spans="1:105" ht="22.5" customHeight="1" x14ac:dyDescent="0.2">
      <c r="A30" s="313" t="s">
        <v>250</v>
      </c>
      <c r="B30" s="299" t="s">
        <v>281</v>
      </c>
      <c r="C30" s="301" t="str">
        <f>Assessment!C$219</f>
        <v>--Loft top-up loft insulation (150 to 270mm), 50% client funded---</v>
      </c>
      <c r="D30" s="135" t="s">
        <v>245</v>
      </c>
      <c r="E30" s="136"/>
      <c r="F30" s="197">
        <f>(((PMT(Assessment!$D$21+Assessment!$D$18,1,Assessment!$D$66,,0))))</f>
        <v>-200.36400000000003</v>
      </c>
      <c r="G30" s="197">
        <f>(((PMT(Assessment!$D$21+Assessment!$D$18,2,Assessment!$D$66,,0))))</f>
        <v>-109.28945454545456</v>
      </c>
      <c r="H30" s="197">
        <f>(((PMT(Assessment!$D$21+Assessment!$D$18,3,Assessment!$D$66,,0))))</f>
        <v>-79.264879120879129</v>
      </c>
      <c r="I30" s="197">
        <f>(((PMT(Assessment!$D$21+Assessment!$D$18,4,Assessment!$D$66,,0))))</f>
        <v>-64.498694485842051</v>
      </c>
      <c r="J30" s="198">
        <f>(((PMT(Assessment!$D$21+Assessment!$D$18,5,Assessment!$D$66,,0))))</f>
        <v>-55.831379058267046</v>
      </c>
      <c r="K30" s="197">
        <f>(((PMT(Assessment!$D$21+Assessment!$D$18,6,Assessment!$D$66,,0))))</f>
        <v>-50.208838387419036</v>
      </c>
      <c r="L30" s="197">
        <f>(((PMT(Assessment!$D$21+Assessment!$D$18,7,Assessment!$D$66,,0))))</f>
        <v>-46.321472982146673</v>
      </c>
      <c r="M30" s="197">
        <f>(((PMT(Assessment!$D$21+Assessment!$D$18,8,Assessment!$D$66,,0))))</f>
        <v>-43.513955259579006</v>
      </c>
      <c r="N30" s="197">
        <f>(((PMT(Assessment!$D$21+Assessment!$D$18,9,Assessment!$D$66,,0))))</f>
        <v>-41.421827715457226</v>
      </c>
      <c r="O30" s="198">
        <f>(((PMT(Assessment!$D$21+Assessment!$D$18,10,Assessment!$D$66,,0))))</f>
        <v>-39.826144716730994</v>
      </c>
      <c r="P30" s="197">
        <f>(((PMT(Assessment!$D$21+Assessment!$D$18,11,Assessment!$D$66,,0))))</f>
        <v>-38.587400509587368</v>
      </c>
      <c r="Q30" s="197">
        <f>(((PMT(Assessment!$D$21+Assessment!$D$18,Q2,Assessment!$D$66,,0))))</f>
        <v>-37.612491189984468</v>
      </c>
      <c r="R30" s="197">
        <f>(((PMT(Assessment!$D$21+Assessment!$D$18,R2,Assessment!$D$66,,0))))</f>
        <v>-36.836921580897183</v>
      </c>
      <c r="S30" s="197">
        <f>(((PMT(Assessment!$D$21+Assessment!$D$18,S2,Assessment!$D$66,,0))))</f>
        <v>-36.214633430421657</v>
      </c>
      <c r="T30" s="197">
        <f>(((PMT(Assessment!$D$21+Assessment!$D$18,T2,Assessment!$D$66,,0))))</f>
        <v>-35.711897549269047</v>
      </c>
      <c r="U30" s="197">
        <f>(((PMT(Assessment!$D$21+Assessment!$D$18,U2,Assessment!$D$66,,0))))</f>
        <v>-35.303491466584347</v>
      </c>
      <c r="V30" s="197">
        <f>(((PMT(Assessment!$D$21+Assessment!$D$18,V2,Assessment!$D$66,,0))))</f>
        <v>-34.970221322250026</v>
      </c>
      <c r="W30" s="197">
        <f>(((PMT(Assessment!$D$21+Assessment!$D$18,W2,Assessment!$D$66,,0))))</f>
        <v>-34.697265255692223</v>
      </c>
      <c r="X30" s="197">
        <f>(((PMT(Assessment!$D$21+Assessment!$D$18,X2,Assessment!$D$66,,0))))</f>
        <v>-34.473035804184825</v>
      </c>
      <c r="Y30" s="197">
        <f>(((PMT(Assessment!$D$21+Assessment!$D$18,Y2,Assessment!$D$66,,0))))</f>
        <v>-34.288379929817353</v>
      </c>
      <c r="Z30" s="197">
        <f>(((PMT(Assessment!$D$21+Assessment!$D$18,Z2,Assessment!$D$66,,0))))</f>
        <v>-34.136004466763964</v>
      </c>
      <c r="AA30" s="197">
        <f>(((PMT(Assessment!$D$21+Assessment!$D$18,AA2,Assessment!$D$66,,0))))</f>
        <v>-34.010055627697852</v>
      </c>
      <c r="AB30" s="197">
        <f>(((PMT(Assessment!$D$21+Assessment!$D$18,AB2,Assessment!$D$66,,0))))</f>
        <v>-33.905806048791511</v>
      </c>
      <c r="AC30" s="197">
        <f>(((PMT(Assessment!$D$21+Assessment!$D$18,AC2,Assessment!$D$66,,0))))</f>
        <v>-33.819418359968957</v>
      </c>
      <c r="AD30" s="198">
        <f>(((PMT(Assessment!$D$21+Assessment!$D$18,AD2,Assessment!$D$66,,0))))</f>
        <v>-33.747764178133494</v>
      </c>
      <c r="AE30" s="197">
        <f>(((PMT(Assessment!$D$21+Assessment!$D$18,AE2,Assessment!$D$66,,0))))</f>
        <v>-33.688283891935583</v>
      </c>
      <c r="AF30" s="197">
        <f>(((PMT(Assessment!$D$21+Assessment!$D$18,AF2,Assessment!$D$66,,0))))</f>
        <v>-33.638876914540674</v>
      </c>
      <c r="AG30" s="197">
        <f>(((PMT(Assessment!$D$21+Assessment!$D$18,AG2,Assessment!$D$66,,0))))</f>
        <v>-33.597815000859974</v>
      </c>
      <c r="AH30" s="197">
        <f>(((PMT(Assessment!$D$21+Assessment!$D$18,AH2,Assessment!$D$66,,0))))</f>
        <v>-33.563673238417863</v>
      </c>
      <c r="AI30" s="197">
        <f>(((PMT(Assessment!$D$21+Assessment!$D$18,AI2,Assessment!$D$66,,0))))</f>
        <v>-33.535274730378816</v>
      </c>
      <c r="AJ30" s="197">
        <f>(((PMT(Assessment!$D$21+Assessment!$D$18,AJ2,Assessment!$D$66,,0))))</f>
        <v>-33.511645990925032</v>
      </c>
      <c r="AK30" s="197">
        <f>(((PMT(Assessment!$D$21+Assessment!$D$18,AK2,Assessment!$D$66,,0))))</f>
        <v>-33.491980795237687</v>
      </c>
      <c r="AL30" s="197">
        <f>(((PMT(Assessment!$D$21+Assessment!$D$18,AL2,Assessment!$D$66,,0))))</f>
        <v>-33.475610753899254</v>
      </c>
      <c r="AM30" s="197">
        <f>(((PMT(Assessment!$D$21+Assessment!$D$18,AM2,Assessment!$D$66,,0))))</f>
        <v>-33.461981271963538</v>
      </c>
      <c r="AN30" s="197">
        <f>(((PMT(Assessment!$D$21+Assessment!$D$18,AN2,Assessment!$D$66,,0))))</f>
        <v>-33.450631845415678</v>
      </c>
      <c r="AO30" s="197">
        <f>(((PMT(Assessment!$D$21+Assessment!$D$18,AO2,Assessment!$D$66,,0))))</f>
        <v>-33.441179869367687</v>
      </c>
      <c r="AP30" s="197">
        <f>(((PMT(Assessment!$D$21+Assessment!$D$18,AP2,Assessment!$D$66,,0))))</f>
        <v>-33.433307302084934</v>
      </c>
      <c r="AQ30" s="197">
        <f>(((PMT(Assessment!$D$21+Assessment!$D$18,AQ2,Assessment!$D$66,,0))))</f>
        <v>-33.426749660259986</v>
      </c>
      <c r="AR30" s="197">
        <f>(((PMT(Assessment!$D$21+Assessment!$D$18,AR2,Assessment!$D$66,,0))))</f>
        <v>-33.421286923479947</v>
      </c>
      <c r="AS30" s="197">
        <f>(((PMT(Assessment!$D$21+Assessment!$D$18,AS2,Assessment!$D$66,,0))))</f>
        <v>-33.416736006556953</v>
      </c>
      <c r="AT30" s="197">
        <f>(((PMT(Assessment!$D$21+Assessment!$D$18,AT2,Assessment!$D$66,,0))))</f>
        <v>-33.412944522429314</v>
      </c>
      <c r="AU30" s="197">
        <f>(((PMT(Assessment!$D$21+Assessment!$D$18,AU2,Assessment!$D$66,,0))))</f>
        <v>-33.409785609486683</v>
      </c>
      <c r="AV30" s="197">
        <f>(((PMT(Assessment!$D$21+Assessment!$D$18,AV2,Assessment!$D$66,,0))))</f>
        <v>-33.407153638267324</v>
      </c>
      <c r="AW30" s="197">
        <f>(((PMT(Assessment!$D$21+Assessment!$D$18,AW2,Assessment!$D$66,,0))))</f>
        <v>-33.404960645670513</v>
      </c>
      <c r="AX30" s="197">
        <f>(((PMT(Assessment!$D$21+Assessment!$D$18,AX2,Assessment!$D$66,,0))))</f>
        <v>-33.403133371763161</v>
      </c>
      <c r="AY30" s="197">
        <f>(((PMT(Assessment!$D$21+Assessment!$D$18,AY2,Assessment!$D$66,,0))))</f>
        <v>-33.401610796206221</v>
      </c>
      <c r="AZ30" s="197">
        <f>(((PMT(Assessment!$D$21+Assessment!$D$18,AZ2,Assessment!$D$66,,0))))</f>
        <v>-33.400342089268555</v>
      </c>
      <c r="BA30" s="197">
        <f>(((PMT(Assessment!$D$21+Assessment!$D$18,BA2,Assessment!$D$66,,0))))</f>
        <v>-33.399284907108154</v>
      </c>
      <c r="BB30" s="197">
        <f>(((PMT(Assessment!$D$21+Assessment!$D$18,BB2,Assessment!$D$66,,0))))</f>
        <v>-33.398403973095263</v>
      </c>
      <c r="BC30" s="197">
        <f>(((PMT(Assessment!$D$21+Assessment!$D$18,BC2,Assessment!$D$66,,0))))</f>
        <v>-33.397669896915559</v>
      </c>
      <c r="BD30" s="197">
        <f>(((PMT(Assessment!$D$21+Assessment!$D$18,BD2,Assessment!$D$66,,0))))</f>
        <v>-33.39705819141534</v>
      </c>
      <c r="BE30" s="197">
        <f>(((PMT(Assessment!$D$21+Assessment!$D$18,BE2,Assessment!$D$66,,0))))</f>
        <v>-33.396548453948611</v>
      </c>
      <c r="BF30" s="197">
        <f>(((PMT(Assessment!$D$21+Assessment!$D$18,BF2,Assessment!$D$66,,0))))</f>
        <v>-33.396123684612441</v>
      </c>
      <c r="BG30" s="197">
        <f>(((PMT(Assessment!$D$21+Assessment!$D$18,BG2,Assessment!$D$66,,0))))</f>
        <v>-33.395769718419551</v>
      </c>
      <c r="BH30" s="197">
        <f>(((PMT(Assessment!$D$21+Assessment!$D$18,BH2,Assessment!$D$66,,0))))</f>
        <v>-33.395474752323857</v>
      </c>
      <c r="BI30" s="197">
        <f>(((PMT(Assessment!$D$21+Assessment!$D$18,BI2,Assessment!$D$66,,0))))</f>
        <v>-33.395228951224347</v>
      </c>
      <c r="BJ30" s="197">
        <f>(((PMT(Assessment!$D$21+Assessment!$D$18,BJ2,Assessment!$D$66,,0))))</f>
        <v>-33.395024119738757</v>
      </c>
      <c r="BK30" s="197">
        <f>(((PMT(Assessment!$D$21+Assessment!$D$18,BK2,Assessment!$D$66,,0))))</f>
        <v>-33.394853428753507</v>
      </c>
      <c r="BL30" s="197">
        <f>(((PMT(Assessment!$D$21+Assessment!$D$18,BL2,Assessment!$D$66,,0))))</f>
        <v>-33.394711187598695</v>
      </c>
      <c r="BM30" s="197">
        <f>(((PMT(Assessment!$D$21+Assessment!$D$18,BM2,Assessment!$D$66,,0))))</f>
        <v>-33.394592654228632</v>
      </c>
      <c r="BN30" s="197">
        <f>(((PMT(Assessment!$D$21+Assessment!$D$18,BN2,Assessment!$D$66,,0))))</f>
        <v>-33.394493877063027</v>
      </c>
      <c r="BO30" s="197">
        <f>(((PMT(Assessment!$D$21+Assessment!$D$18,BO2,Assessment!$D$66,,0))))</f>
        <v>-33.394411563204727</v>
      </c>
      <c r="BP30" s="197">
        <f>(((PMT(Assessment!$D$21+Assessment!$D$18,BP2,Assessment!$D$66,,0))))</f>
        <v>-33.394342968632792</v>
      </c>
      <c r="BQ30" s="197">
        <f>(((PMT(Assessment!$D$21+Assessment!$D$18,BQ2,Assessment!$D$66,,0))))</f>
        <v>-33.394285806704765</v>
      </c>
      <c r="BR30" s="197">
        <f>(((PMT(Assessment!$D$21+Assessment!$D$18,BR2,Assessment!$D$66,,0))))</f>
        <v>-33.394238171914239</v>
      </c>
      <c r="BS30" s="197">
        <f>(((PMT(Assessment!$D$21+Assessment!$D$18,BS2,Assessment!$D$66,,0))))</f>
        <v>-33.394198476359264</v>
      </c>
      <c r="BT30" s="197">
        <f>(((PMT(Assessment!$D$21+Assessment!$D$18,BT2,Assessment!$D$66,,0))))</f>
        <v>-33.394165396802222</v>
      </c>
      <c r="BU30" s="197">
        <f>(((PMT(Assessment!$D$21+Assessment!$D$18,BU2,Assessment!$D$66,,0))))</f>
        <v>-33.394137830554733</v>
      </c>
      <c r="BV30" s="197">
        <f>(((PMT(Assessment!$D$21+Assessment!$D$18,BV2,Assessment!$D$66,,0))))</f>
        <v>-33.394114858716605</v>
      </c>
      <c r="BW30" s="197">
        <f>(((PMT(Assessment!$D$21+Assessment!$D$18,BW2,Assessment!$D$66,,0))))</f>
        <v>-33.394095715542299</v>
      </c>
      <c r="BX30" s="197">
        <f>(((PMT(Assessment!$D$21+Assessment!$D$18,BX2,Assessment!$D$66,,0))))</f>
        <v>-33.394079762913819</v>
      </c>
      <c r="BY30" s="197">
        <f>(((PMT(Assessment!$D$21+Assessment!$D$18,BY2,Assessment!$D$66,,0))))</f>
        <v>-33.394066469068385</v>
      </c>
      <c r="BZ30" s="197">
        <f>(((PMT(Assessment!$D$21+Assessment!$D$18,BZ2,Assessment!$D$66,,0))))</f>
        <v>-33.394055390871948</v>
      </c>
      <c r="CA30" s="197">
        <f>(((PMT(Assessment!$D$21+Assessment!$D$18,CA2,Assessment!$D$66,,0))))</f>
        <v>-33.394046159047193</v>
      </c>
      <c r="CB30" s="197">
        <f>(((PMT(Assessment!$D$21+Assessment!$D$18,CB2,Assessment!$D$66,,0))))</f>
        <v>-33.394038465863801</v>
      </c>
      <c r="CC30" s="197">
        <f>(((PMT(Assessment!$D$21+Assessment!$D$18,CC2,Assessment!$D$66,,0))))</f>
        <v>-33.394032054880348</v>
      </c>
      <c r="CD30" s="197">
        <f>(((PMT(Assessment!$D$21+Assessment!$D$18,CD2,Assessment!$D$66,,0))))</f>
        <v>-33.39402671239602</v>
      </c>
      <c r="CE30" s="197">
        <f>(((PMT(Assessment!$D$21+Assessment!$D$18,CE2,Assessment!$D$66,,0))))</f>
        <v>-33.394022260327048</v>
      </c>
      <c r="CF30" s="197">
        <f>(((PMT(Assessment!$D$21+Assessment!$D$18,CF2,Assessment!$D$66,,0))))</f>
        <v>-33.394018550270481</v>
      </c>
      <c r="CG30" s="197">
        <f>(((PMT(Assessment!$D$21+Assessment!$D$18,CG2,Assessment!$D$66,,0))))</f>
        <v>-33.394015458557298</v>
      </c>
      <c r="CH30" s="197">
        <f>(((PMT(Assessment!$D$21+Assessment!$D$18,CH2,Assessment!$D$66,,0))))</f>
        <v>-33.394012882130092</v>
      </c>
      <c r="CI30" s="197">
        <f>(((PMT(Assessment!$D$21+Assessment!$D$18,CI2,Assessment!$D$66,,0))))</f>
        <v>-33.394010735107713</v>
      </c>
      <c r="CJ30" s="197">
        <f>(((PMT(Assessment!$D$21+Assessment!$D$18,CJ2,Assessment!$D$66,,0))))</f>
        <v>-33.394008945922621</v>
      </c>
      <c r="CK30" s="197">
        <f>(((PMT(Assessment!$D$21+Assessment!$D$18,CK2,Assessment!$D$66,,0))))</f>
        <v>-33.394007454935185</v>
      </c>
      <c r="CL30" s="197">
        <f>(((PMT(Assessment!$D$21+Assessment!$D$18,CL2,Assessment!$D$66,,0))))</f>
        <v>-33.394006212445753</v>
      </c>
      <c r="CM30" s="197">
        <f>(((PMT(Assessment!$D$21+Assessment!$D$18,CM2,Assessment!$D$66,,0))))</f>
        <v>-33.394005177037968</v>
      </c>
      <c r="CN30" s="197">
        <f>(((PMT(Assessment!$D$21+Assessment!$D$18,CN2,Assessment!$D$66,,0))))</f>
        <v>-33.394004314198199</v>
      </c>
      <c r="CO30" s="197">
        <f>(((PMT(Assessment!$D$21+Assessment!$D$18,CO2,Assessment!$D$66,,0))))</f>
        <v>-33.394003595165088</v>
      </c>
      <c r="CP30" s="197">
        <f>(((PMT(Assessment!$D$21+Assessment!$D$18,CP2,Assessment!$D$66,,0))))</f>
        <v>-33.394002995970851</v>
      </c>
      <c r="CQ30" s="197">
        <f>(((PMT(Assessment!$D$21+Assessment!$D$18,CQ2,Assessment!$D$66,,0))))</f>
        <v>-33.394002496642337</v>
      </c>
      <c r="CR30" s="197">
        <f>(((PMT(Assessment!$D$21+Assessment!$D$18,CR2,Assessment!$D$66,,0))))</f>
        <v>-33.394002080535259</v>
      </c>
      <c r="CS30" s="197">
        <f>(((PMT(Assessment!$D$21+Assessment!$D$18,CS2,Assessment!$D$66,,0))))</f>
        <v>-33.394001733779362</v>
      </c>
      <c r="CT30" s="197">
        <f>(((PMT(Assessment!$D$21+Assessment!$D$18,CT2,Assessment!$D$66,,0))))</f>
        <v>-33.394001444816119</v>
      </c>
      <c r="CU30" s="197">
        <f>(((PMT(Assessment!$D$21+Assessment!$D$18,CU2,Assessment!$D$66,,0))))</f>
        <v>-33.394001204013428</v>
      </c>
      <c r="CV30" s="197">
        <f>(((PMT(Assessment!$D$21+Assessment!$D$18,CV2,Assessment!$D$66,,0))))</f>
        <v>-33.39400100334452</v>
      </c>
      <c r="CW30" s="197">
        <f>(((PMT(Assessment!$D$21+Assessment!$D$18,CW2,Assessment!$D$66,,0))))</f>
        <v>-33.394000836120426</v>
      </c>
      <c r="CX30" s="197">
        <f>(((PMT(Assessment!$D$21+Assessment!$D$18,CX2,Assessment!$D$66,,0))))</f>
        <v>-33.394000696767023</v>
      </c>
      <c r="CY30" s="197">
        <f>(((PMT(Assessment!$D$21+Assessment!$D$18,CY2,Assessment!$D$66,,0))))</f>
        <v>-33.39400058063918</v>
      </c>
      <c r="CZ30" s="197">
        <f>(((PMT(Assessment!$D$21+Assessment!$D$18,CZ2,Assessment!$D$66,,0))))</f>
        <v>-33.394000483865987</v>
      </c>
      <c r="DA30" s="197">
        <f>(((PMT(Assessment!$D$21+Assessment!$D$18,DA2,Assessment!$D$66,,0))))</f>
        <v>-33.394000403221654</v>
      </c>
    </row>
    <row r="31" spans="1:105" ht="22.5" customHeight="1" x14ac:dyDescent="0.2">
      <c r="A31" s="314"/>
      <c r="B31" s="300"/>
      <c r="C31" s="301"/>
      <c r="D31" s="135" t="s">
        <v>163</v>
      </c>
      <c r="E31" s="136"/>
      <c r="F31" s="197">
        <f>(((PMT(Assessment!$D$22+Assessment!$D$18,1,Assessment!$D$66,,0))))</f>
        <v>-175.31849999999997</v>
      </c>
      <c r="G31" s="197">
        <f>(((PMT(Assessment!$D$22+Assessment!$D$18,2,Assessment!$D$66,,0))))</f>
        <v>-89.797280487804869</v>
      </c>
      <c r="H31" s="197">
        <f>(((PMT(Assessment!$D$22+Assessment!$D$18,3,Assessment!$D$66,,0))))</f>
        <v>-61.312814036478983</v>
      </c>
      <c r="I31" s="197">
        <f>(((PMT(Assessment!$D$22+Assessment!$D$18,4,Assessment!$D$66,,0))))</f>
        <v>-47.087515689800178</v>
      </c>
      <c r="J31" s="198">
        <f>(((PMT(Assessment!$D$22+Assessment!$D$18,5,Assessment!$D$66,,0))))</f>
        <v>-38.565862043476926</v>
      </c>
      <c r="K31" s="197">
        <f>(((PMT(Assessment!$D$22+Assessment!$D$18,6,Assessment!$D$66,,0))))</f>
        <v>-32.896006650358139</v>
      </c>
      <c r="L31" s="197">
        <f>(((PMT(Assessment!$D$22+Assessment!$D$18,7,Assessment!$D$66,,0))))</f>
        <v>-28.855725085957125</v>
      </c>
      <c r="M31" s="197">
        <f>(((PMT(Assessment!$D$22+Assessment!$D$18,8,Assessment!$D$66,,0))))</f>
        <v>-25.833901221413921</v>
      </c>
      <c r="N31" s="197">
        <f>(((PMT(Assessment!$D$22+Assessment!$D$18,9,Assessment!$D$66,,0))))</f>
        <v>-23.491022653557291</v>
      </c>
      <c r="O31" s="198">
        <f>(((PMT(Assessment!$D$22+Assessment!$D$18,10,Assessment!$D$66,,0))))</f>
        <v>-21.623378881982301</v>
      </c>
      <c r="P31" s="197">
        <f>(((PMT(Assessment!$D$22+Assessment!$D$18,11,Assessment!$D$66,,0))))</f>
        <v>-20.101333212196845</v>
      </c>
      <c r="Q31" s="197">
        <f>(((PMT(Assessment!$D$22+Assessment!$D$18,Q2,Assessment!$D$66,,0))))</f>
        <v>-18.838458711175548</v>
      </c>
      <c r="R31" s="197">
        <f>(((PMT(Assessment!$D$22+Assessment!$D$18,R2,Assessment!$D$66,,0))))</f>
        <v>-17.774919110055485</v>
      </c>
      <c r="S31" s="197">
        <f>(((PMT(Assessment!$D$22+Assessment!$D$18,S2,Assessment!$D$66,,0))))</f>
        <v>-16.867972180278741</v>
      </c>
      <c r="T31" s="197">
        <f>(((PMT(Assessment!$D$22+Assessment!$D$18,T2,Assessment!$D$66,,0))))</f>
        <v>-16.086271762115533</v>
      </c>
      <c r="U31" s="197">
        <f>(((PMT(Assessment!$D$22+Assessment!$D$18,U2,Assessment!$D$66,,0))))</f>
        <v>-15.406306535027509</v>
      </c>
      <c r="V31" s="197">
        <f>(((PMT(Assessment!$D$22+Assessment!$D$18,V2,Assessment!$D$66,,0))))</f>
        <v>-14.810095694872841</v>
      </c>
      <c r="W31" s="197">
        <f>(((PMT(Assessment!$D$22+Assessment!$D$18,W2,Assessment!$D$66,,0))))</f>
        <v>-14.283652740726325</v>
      </c>
      <c r="X31" s="197">
        <f>(((PMT(Assessment!$D$22+Assessment!$D$18,X2,Assessment!$D$66,,0))))</f>
        <v>-13.81593438344184</v>
      </c>
      <c r="Y31" s="197">
        <f>(((PMT(Assessment!$D$22+Assessment!$D$18,Y2,Assessment!$D$66,,0))))</f>
        <v>-13.39810478322973</v>
      </c>
      <c r="Z31" s="197">
        <f>(((PMT(Assessment!$D$22+Assessment!$D$18,Z2,Assessment!$D$66,,0))))</f>
        <v>-13.023010006462409</v>
      </c>
      <c r="AA31" s="197">
        <f>(((PMT(Assessment!$D$22+Assessment!$D$18,AA2,Assessment!$D$66,,0))))</f>
        <v>-12.684795813659683</v>
      </c>
      <c r="AB31" s="197">
        <f>(((PMT(Assessment!$D$22+Assessment!$D$18,AB2,Assessment!$D$66,,0))))</f>
        <v>-12.378625156011601</v>
      </c>
      <c r="AC31" s="197">
        <f>(((PMT(Assessment!$D$22+Assessment!$D$18,AC2,Assessment!$D$66,,0))))</f>
        <v>-12.10046629867615</v>
      </c>
      <c r="AD31" s="198">
        <f>(((PMT(Assessment!$D$22+Assessment!$D$18,AD2,Assessment!$D$66,,0))))</f>
        <v>-11.84693179525237</v>
      </c>
      <c r="AE31" s="197">
        <f>(((PMT(Assessment!$D$22+Assessment!$D$18,AE2,Assessment!$D$66,,0))))</f>
        <v>-11.615154622628957</v>
      </c>
      <c r="AF31" s="197">
        <f>(((PMT(Assessment!$D$22+Assessment!$D$18,AF2,Assessment!$D$66,,0))))</f>
        <v>-11.40269184194185</v>
      </c>
      <c r="AG31" s="197">
        <f>(((PMT(Assessment!$D$22+Assessment!$D$18,AG2,Assessment!$D$66,,0))))</f>
        <v>-11.20744890402232</v>
      </c>
      <c r="AH31" s="197">
        <f>(((PMT(Assessment!$D$22+Assessment!$D$18,AH2,Assessment!$D$66,,0))))</f>
        <v>-11.027619616095427</v>
      </c>
      <c r="AI31" s="197">
        <f>(((PMT(Assessment!$D$22+Assessment!$D$18,AI2,Assessment!$D$66,,0))))</f>
        <v>-10.861638115353781</v>
      </c>
      <c r="AJ31" s="197">
        <f>(((PMT(Assessment!$D$22+Assessment!$D$18,AJ2,Assessment!$D$66,,0))))</f>
        <v>-10.708140138097516</v>
      </c>
      <c r="AK31" s="197">
        <f>(((PMT(Assessment!$D$22+Assessment!$D$18,AK2,Assessment!$D$66,,0))))</f>
        <v>-10.565931550960183</v>
      </c>
      <c r="AL31" s="197">
        <f>(((PMT(Assessment!$D$22+Assessment!$D$18,AL2,Assessment!$D$66,,0))))</f>
        <v>-10.43396260370705</v>
      </c>
      <c r="AM31" s="197">
        <f>(((PMT(Assessment!$D$22+Assessment!$D$18,AM2,Assessment!$D$66,,0))))</f>
        <v>-10.311306725567976</v>
      </c>
      <c r="AN31" s="197">
        <f>(((PMT(Assessment!$D$22+Assessment!$D$18,AN2,Assessment!$D$66,,0))))</f>
        <v>-10.197142956334993</v>
      </c>
      <c r="AO31" s="197">
        <f>(((PMT(Assessment!$D$22+Assessment!$D$18,AO2,Assessment!$D$66,,0))))</f>
        <v>-10.090741305405761</v>
      </c>
      <c r="AP31" s="197">
        <f>(((PMT(Assessment!$D$22+Assessment!$D$18,AP2,Assessment!$D$66,,0))))</f>
        <v>-9.9914504847821295</v>
      </c>
      <c r="AQ31" s="197">
        <f>(((PMT(Assessment!$D$22+Assessment!$D$18,AQ2,Assessment!$D$66,,0))))</f>
        <v>-9.8986875786651236</v>
      </c>
      <c r="AR31" s="197">
        <f>(((PMT(Assessment!$D$22+Assessment!$D$18,AR2,Assessment!$D$66,,0))))</f>
        <v>-9.8119293020046001</v>
      </c>
      <c r="AS31" s="197">
        <f>(((PMT(Assessment!$D$22+Assessment!$D$18,AS2,Assessment!$D$66,,0))))</f>
        <v>-9.7307045698928647</v>
      </c>
      <c r="AT31" s="197">
        <f>(((PMT(Assessment!$D$22+Assessment!$D$18,AT2,Assessment!$D$66,,0))))</f>
        <v>-9.6545881539593719</v>
      </c>
      <c r="AU31" s="197">
        <f>(((PMT(Assessment!$D$22+Assessment!$D$18,AU2,Assessment!$D$66,,0))))</f>
        <v>-9.5831952445630222</v>
      </c>
      <c r="AV31" s="197">
        <f>(((PMT(Assessment!$D$22+Assessment!$D$18,AV2,Assessment!$D$66,,0))))</f>
        <v>-9.5161767712933063</v>
      </c>
      <c r="AW31" s="197">
        <f>(((PMT(Assessment!$D$22+Assessment!$D$18,AW2,Assessment!$D$66,,0))))</f>
        <v>-9.4532153611101162</v>
      </c>
      <c r="AX31" s="197">
        <f>(((PMT(Assessment!$D$22+Assessment!$D$18,AX2,Assessment!$D$66,,0))))</f>
        <v>-9.3940218349070879</v>
      </c>
      <c r="AY31" s="197">
        <f>(((PMT(Assessment!$D$22+Assessment!$D$18,AY2,Assessment!$D$66,,0))))</f>
        <v>-9.3383321605403786</v>
      </c>
      <c r="AZ31" s="197">
        <f>(((PMT(Assessment!$D$22+Assessment!$D$18,AZ2,Assessment!$D$66,,0))))</f>
        <v>-9.2859047943175792</v>
      </c>
      <c r="BA31" s="197">
        <f>(((PMT(Assessment!$D$22+Assessment!$D$18,BA2,Assessment!$D$66,,0))))</f>
        <v>-9.2365183542778677</v>
      </c>
      <c r="BB31" s="197">
        <f>(((PMT(Assessment!$D$22+Assessment!$D$18,BB2,Assessment!$D$66,,0))))</f>
        <v>-9.1899695778487693</v>
      </c>
      <c r="BC31" s="197">
        <f>(((PMT(Assessment!$D$22+Assessment!$D$18,BC2,Assessment!$D$66,,0))))</f>
        <v>-9.1460715240534185</v>
      </c>
      <c r="BD31" s="197">
        <f>(((PMT(Assessment!$D$22+Assessment!$D$18,BD2,Assessment!$D$66,,0))))</f>
        <v>-9.10465198669141</v>
      </c>
      <c r="BE31" s="197">
        <f>(((PMT(Assessment!$D$22+Assessment!$D$18,BE2,Assessment!$D$66,,0))))</f>
        <v>-9.0655520900839708</v>
      </c>
      <c r="BF31" s="197">
        <f>(((PMT(Assessment!$D$22+Assessment!$D$18,BF2,Assessment!$D$66,,0))))</f>
        <v>-9.0286250432642827</v>
      </c>
      <c r="BG31" s="197">
        <f>(((PMT(Assessment!$D$22+Assessment!$D$18,BG2,Assessment!$D$66,,0))))</f>
        <v>-8.9937350320686988</v>
      </c>
      <c r="BH31" s="197">
        <f>(((PMT(Assessment!$D$22+Assessment!$D$18,BH2,Assessment!$D$66,,0))))</f>
        <v>-8.9607562315745142</v>
      </c>
      <c r="BI31" s="197">
        <f>(((PMT(Assessment!$D$22+Assessment!$D$18,BI2,Assessment!$D$66,,0))))</f>
        <v>-8.9295719238393723</v>
      </c>
      <c r="BJ31" s="197">
        <f>(((PMT(Assessment!$D$22+Assessment!$D$18,BJ2,Assessment!$D$66,,0))))</f>
        <v>-8.9000737080103196</v>
      </c>
      <c r="BK31" s="197">
        <f>(((PMT(Assessment!$D$22+Assessment!$D$18,BK2,Assessment!$D$66,,0))))</f>
        <v>-8.8721607916557002</v>
      </c>
      <c r="BL31" s="197">
        <f>(((PMT(Assessment!$D$22+Assessment!$D$18,BL2,Assessment!$D$66,,0))))</f>
        <v>-8.8457393536857705</v>
      </c>
      <c r="BM31" s="197">
        <f>(((PMT(Assessment!$D$22+Assessment!$D$18,BM2,Assessment!$D$66,,0))))</f>
        <v>-8.8207219705136577</v>
      </c>
      <c r="BN31" s="197">
        <f>(((PMT(Assessment!$D$22+Assessment!$D$18,BN2,Assessment!$D$66,,0))))</f>
        <v>-8.7970270982042553</v>
      </c>
      <c r="BO31" s="197">
        <f>(((PMT(Assessment!$D$22+Assessment!$D$18,BO2,Assessment!$D$66,,0))))</f>
        <v>-8.7745786042954563</v>
      </c>
      <c r="BP31" s="197">
        <f>(((PMT(Assessment!$D$22+Assessment!$D$18,BP2,Assessment!$D$66,,0))))</f>
        <v>-8.7533053437790294</v>
      </c>
      <c r="BQ31" s="197">
        <f>(((PMT(Assessment!$D$22+Assessment!$D$18,BQ2,Assessment!$D$66,,0))))</f>
        <v>-8.7331407744183558</v>
      </c>
      <c r="BR31" s="197">
        <f>(((PMT(Assessment!$D$22+Assessment!$D$18,BR2,Assessment!$D$66,,0))))</f>
        <v>-8.7140226071746092</v>
      </c>
      <c r="BS31" s="197">
        <f>(((PMT(Assessment!$D$22+Assessment!$D$18,BS2,Assessment!$D$66,,0))))</f>
        <v>-8.695892488026125</v>
      </c>
      <c r="BT31" s="197">
        <f>(((PMT(Assessment!$D$22+Assessment!$D$18,BT2,Assessment!$D$66,,0))))</f>
        <v>-8.6786957079099789</v>
      </c>
      <c r="BU31" s="197">
        <f>(((PMT(Assessment!$D$22+Assessment!$D$18,BU2,Assessment!$D$66,,0))))</f>
        <v>-8.6623809379001084</v>
      </c>
      <c r="BV31" s="197">
        <f>(((PMT(Assessment!$D$22+Assessment!$D$18,BV2,Assessment!$D$66,,0))))</f>
        <v>-8.6468999870713557</v>
      </c>
      <c r="BW31" s="197">
        <f>(((PMT(Assessment!$D$22+Assessment!$D$18,BW2,Assessment!$D$66,,0))))</f>
        <v>-8.6322075807907588</v>
      </c>
      <c r="BX31" s="197">
        <f>(((PMT(Assessment!$D$22+Assessment!$D$18,BX2,Assessment!$D$66,,0))))</f>
        <v>-8.6182611574321388</v>
      </c>
      <c r="BY31" s="197">
        <f>(((PMT(Assessment!$D$22+Assessment!$D$18,BY2,Assessment!$D$66,,0))))</f>
        <v>-8.6050206817331567</v>
      </c>
      <c r="BZ31" s="197">
        <f>(((PMT(Assessment!$D$22+Assessment!$D$18,BZ2,Assessment!$D$66,,0))))</f>
        <v>-8.592448473209215</v>
      </c>
      <c r="CA31" s="197">
        <f>(((PMT(Assessment!$D$22+Assessment!$D$18,CA2,Assessment!$D$66,,0))))</f>
        <v>-8.5805090482103221</v>
      </c>
      <c r="CB31" s="197">
        <f>(((PMT(Assessment!$D$22+Assessment!$D$18,CB2,Assessment!$D$66,,0))))</f>
        <v>-8.5691689743579094</v>
      </c>
      <c r="CC31" s="197">
        <f>(((PMT(Assessment!$D$22+Assessment!$D$18,CC2,Assessment!$D$66,,0))))</f>
        <v>-8.5583967362316837</v>
      </c>
      <c r="CD31" s="197">
        <f>(((PMT(Assessment!$D$22+Assessment!$D$18,CD2,Assessment!$D$66,,0))))</f>
        <v>-8.5481626112939946</v>
      </c>
      <c r="CE31" s="197">
        <f>(((PMT(Assessment!$D$22+Assessment!$D$18,CE2,Assessment!$D$66,,0))))</f>
        <v>-8.5384385551430864</v>
      </c>
      <c r="CF31" s="197">
        <f>(((PMT(Assessment!$D$22+Assessment!$D$18,CF2,Assessment!$D$66,,0))))</f>
        <v>-8.5291980952786304</v>
      </c>
      <c r="CG31" s="197">
        <f>(((PMT(Assessment!$D$22+Assessment!$D$18,CG2,Assessment!$D$66,,0))))</f>
        <v>-8.5204162326445108</v>
      </c>
      <c r="CH31" s="197">
        <f>(((PMT(Assessment!$D$22+Assessment!$D$18,CH2,Assessment!$D$66,,0))))</f>
        <v>-8.5120693502863443</v>
      </c>
      <c r="CI31" s="197">
        <f>(((PMT(Assessment!$D$22+Assessment!$D$18,CI2,Assessment!$D$66,,0))))</f>
        <v>-8.5041351285258333</v>
      </c>
      <c r="CJ31" s="197">
        <f>(((PMT(Assessment!$D$22+Assessment!$D$18,CJ2,Assessment!$D$66,,0))))</f>
        <v>-8.4965924661114567</v>
      </c>
      <c r="CK31" s="197">
        <f>(((PMT(Assessment!$D$22+Assessment!$D$18,CK2,Assessment!$D$66,,0))))</f>
        <v>-8.4894214068564402</v>
      </c>
      <c r="CL31" s="197">
        <f>(((PMT(Assessment!$D$22+Assessment!$D$18,CL2,Assessment!$D$66,,0))))</f>
        <v>-8.4826030713207423</v>
      </c>
      <c r="CM31" s="197">
        <f>(((PMT(Assessment!$D$22+Assessment!$D$18,CM2,Assessment!$D$66,,0))))</f>
        <v>-8.4761195931349196</v>
      </c>
      <c r="CN31" s="197">
        <f>(((PMT(Assessment!$D$22+Assessment!$D$18,CN2,Assessment!$D$66,,0))))</f>
        <v>-8.4699540596004805</v>
      </c>
      <c r="CO31" s="197">
        <f>(((PMT(Assessment!$D$22+Assessment!$D$18,CO2,Assessment!$D$66,,0))))</f>
        <v>-8.4640904562344037</v>
      </c>
      <c r="CP31" s="197">
        <f>(((PMT(Assessment!$D$22+Assessment!$D$18,CP2,Assessment!$D$66,,0))))</f>
        <v>-8.4585136149551445</v>
      </c>
      <c r="CQ31" s="197">
        <f>(((PMT(Assessment!$D$22+Assessment!$D$18,CQ2,Assessment!$D$66,,0))))</f>
        <v>-8.4532091656341475</v>
      </c>
      <c r="CR31" s="197">
        <f>(((PMT(Assessment!$D$22+Assessment!$D$18,CR2,Assessment!$D$66,,0))))</f>
        <v>-8.4481634907609386</v>
      </c>
      <c r="CS31" s="197">
        <f>(((PMT(Assessment!$D$22+Assessment!$D$18,CS2,Assessment!$D$66,,0))))</f>
        <v>-8.4433636829915866</v>
      </c>
      <c r="CT31" s="197">
        <f>(((PMT(Assessment!$D$22+Assessment!$D$18,CT2,Assessment!$D$66,,0))))</f>
        <v>-8.4387975053698323</v>
      </c>
      <c r="CU31" s="197">
        <f>(((PMT(Assessment!$D$22+Assessment!$D$18,CU2,Assessment!$D$66,,0))))</f>
        <v>-8.434453354027978</v>
      </c>
      <c r="CV31" s="197">
        <f>(((PMT(Assessment!$D$22+Assessment!$D$18,CV2,Assessment!$D$66,,0))))</f>
        <v>-8.4303202231905985</v>
      </c>
      <c r="CW31" s="197">
        <f>(((PMT(Assessment!$D$22+Assessment!$D$18,CW2,Assessment!$D$66,,0))))</f>
        <v>-8.4263876723186737</v>
      </c>
      <c r="CX31" s="197">
        <f>(((PMT(Assessment!$D$22+Assessment!$D$18,CX2,Assessment!$D$66,,0))))</f>
        <v>-8.4226457952449127</v>
      </c>
      <c r="CY31" s="197">
        <f>(((PMT(Assessment!$D$22+Assessment!$D$18,CY2,Assessment!$D$66,,0))))</f>
        <v>-8.4190851911630062</v>
      </c>
      <c r="CZ31" s="197">
        <f>(((PMT(Assessment!$D$22+Assessment!$D$18,CZ2,Assessment!$D$66,,0))))</f>
        <v>-8.4156969373444284</v>
      </c>
      <c r="DA31" s="197">
        <f>(((PMT(Assessment!$D$22+Assessment!$D$18,DA2,Assessment!$D$66,,0))))</f>
        <v>-8.4124725634662649</v>
      </c>
    </row>
    <row r="32" spans="1:105" ht="22.5" hidden="1" customHeight="1" x14ac:dyDescent="0.2">
      <c r="A32" s="315"/>
      <c r="B32" s="151"/>
      <c r="C32" s="135" t="str">
        <f>Assessment!C$219</f>
        <v>--Loft top-up loft insulation (150 to 270mm), 50% client funded---</v>
      </c>
      <c r="D32" s="135" t="s">
        <v>246</v>
      </c>
      <c r="E32" s="136"/>
      <c r="F32" s="199">
        <f>(IF(Assessment!$D$62&gt;(Results_!F31*-1),(Assessment!$D$62+Results_!F31)/2,0))</f>
        <v>0</v>
      </c>
      <c r="G32" s="199">
        <f>(IF(Assessment!$D$62&gt;(Results_!G31*-1),(Assessment!$D$62+Results_!G31)/2,0))</f>
        <v>0</v>
      </c>
      <c r="H32" s="199">
        <f>(IF(Assessment!$D$62&gt;(Results_!H31*-1),(Assessment!$D$62+Results_!H31)/2,0))</f>
        <v>0</v>
      </c>
      <c r="I32" s="199">
        <f>(IF(Assessment!$D$62&gt;(Results_!I31*-1),(Assessment!$D$62+Results_!I31)/2,0))</f>
        <v>0</v>
      </c>
      <c r="J32" s="200">
        <f>(IF(Assessment!$D$62&gt;(Results_!J31*-1),(Assessment!$D$62+Results_!J31)/2,0))</f>
        <v>0</v>
      </c>
      <c r="K32" s="199">
        <f>(IF(Assessment!$D$62&gt;(Results_!K31*-1),(Assessment!$D$62+Results_!K31)/2,0))</f>
        <v>0</v>
      </c>
      <c r="L32" s="199">
        <f>(IF(Assessment!$D$62&gt;(Results_!L31*-1),(Assessment!$D$62+Results_!L31)/2,0))</f>
        <v>0</v>
      </c>
      <c r="M32" s="199">
        <f>(IF(Assessment!$D$62&gt;(Results_!M31*-1),(Assessment!$D$62+Results_!M31)/2,0))</f>
        <v>0</v>
      </c>
      <c r="N32" s="199">
        <f>(IF(Assessment!$D$62&gt;(Results_!N31*-1),(Assessment!$D$62+Results_!N31)/2,0))</f>
        <v>0</v>
      </c>
      <c r="O32" s="200">
        <f>(IF(Assessment!$D$62&gt;(Results_!O31*-1),(Assessment!$D$62+Results_!O31)/2,0))</f>
        <v>0</v>
      </c>
      <c r="P32" s="199">
        <f>(IF(Assessment!$D$62&gt;(Results_!P31*-1),(Assessment!$D$62+Results_!P31)/2,0))</f>
        <v>0</v>
      </c>
      <c r="Q32" s="199">
        <f>(IF(Assessment!$D$62&gt;(Results_!Q31*-1),(Assessment!$D$62+Results_!Q31)/2,0))</f>
        <v>0</v>
      </c>
      <c r="R32" s="199">
        <f>(IF(Assessment!$D$62&gt;(Results_!R31*-1),(Assessment!$D$62+Results_!R31)/2,0))</f>
        <v>0</v>
      </c>
      <c r="S32" s="199">
        <f>(IF(Assessment!$D$62&gt;(Results_!S31*-1),(Assessment!$D$62+Results_!S31)/2,0))</f>
        <v>0</v>
      </c>
      <c r="T32" s="199">
        <f>(IF(Assessment!$D$62&gt;(Results_!T31*-1),(Assessment!$D$62+Results_!T31)/2,0))</f>
        <v>0</v>
      </c>
      <c r="U32" s="199">
        <f>(IF(Assessment!$D$62&gt;(Results_!U31*-1),(Assessment!$D$62+Results_!U31)/2,0))</f>
        <v>0</v>
      </c>
      <c r="V32" s="199">
        <f>(IF(Assessment!$D$62&gt;(Results_!V31*-1),(Assessment!$D$62+Results_!V31)/2,0))</f>
        <v>0</v>
      </c>
      <c r="W32" s="199">
        <f>(IF(Assessment!$D$62&gt;(Results_!W31*-1),(Assessment!$D$62+Results_!W31)/2,0))</f>
        <v>9.7714931917892045E-2</v>
      </c>
      <c r="X32" s="199">
        <f>(IF(Assessment!$D$62&gt;(Results_!X31*-1),(Assessment!$D$62+Results_!X31)/2,0))</f>
        <v>0.33157411056013419</v>
      </c>
      <c r="Y32" s="199">
        <f>(IF(Assessment!$D$62&gt;(Results_!Y31*-1),(Assessment!$D$62+Results_!Y31)/2,0))</f>
        <v>0.54048891066618943</v>
      </c>
      <c r="Z32" s="199">
        <f>(IF(Assessment!$D$62&gt;(Results_!Z31*-1),(Assessment!$D$62+Results_!Z31)/2,0))</f>
        <v>0.72803629904985012</v>
      </c>
      <c r="AA32" s="199">
        <f>(IF(Assessment!$D$62&gt;(Results_!AA31*-1),(Assessment!$D$62+Results_!AA31)/2,0))</f>
        <v>0.89714339545121291</v>
      </c>
      <c r="AB32" s="199">
        <f>(IF(Assessment!$D$62&gt;(Results_!AB31*-1),(Assessment!$D$62+Results_!AB31)/2,0))</f>
        <v>1.0502287242752537</v>
      </c>
      <c r="AC32" s="199">
        <f>(IF(Assessment!$D$62&gt;(Results_!AC31*-1),(Assessment!$D$62+Results_!AC31)/2,0))</f>
        <v>1.1893081529429796</v>
      </c>
      <c r="AD32" s="200">
        <f>(IF(Assessment!$D$62&gt;(Results_!AD31*-1),(Assessment!$D$62+Results_!AD31)/2,0))</f>
        <v>1.3160754046548693</v>
      </c>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201"/>
      <c r="CA32" s="201"/>
      <c r="CB32" s="201"/>
      <c r="CC32" s="201"/>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row>
    <row r="33" spans="1:105" s="139" customFormat="1" ht="22.5" customHeight="1" x14ac:dyDescent="0.2">
      <c r="A33" s="322" t="s">
        <v>60</v>
      </c>
      <c r="B33" s="325" t="s">
        <v>281</v>
      </c>
      <c r="C33" s="318" t="str">
        <f>Assessment!C220</f>
        <v>--</v>
      </c>
      <c r="D33" s="137" t="s">
        <v>245</v>
      </c>
      <c r="E33" s="138"/>
      <c r="F33" s="202">
        <f>(((PMT(Assessment!$D21+Assessment!$D$19,F2,Assessment!$D$128,,0))))</f>
        <v>0</v>
      </c>
      <c r="G33" s="202">
        <f>(((PMT(Assessment!$D$21+Assessment!$D$18,G2,Assessment!$D$128,,0))))</f>
        <v>0</v>
      </c>
      <c r="H33" s="202">
        <f>(((PMT(Assessment!$D$21+Assessment!$D$18,H2,Assessment!$D$128,,0))))</f>
        <v>0</v>
      </c>
      <c r="I33" s="202">
        <f>(((PMT(Assessment!$D$21+Assessment!$D$18,I2,Assessment!$D$128,,0))))</f>
        <v>0</v>
      </c>
      <c r="J33" s="203">
        <f>(((PMT(Assessment!$D$21+Assessment!$D$18,J2,Assessment!$D$128,,0))))</f>
        <v>0</v>
      </c>
      <c r="K33" s="202">
        <f>(((PMT(Assessment!$D$21+Assessment!$D$18,K2,Assessment!$D$128,,0))))</f>
        <v>0</v>
      </c>
      <c r="L33" s="202">
        <f>(((PMT(Assessment!$D$21+Assessment!$D$18,L2,Assessment!$D$128,,0))))</f>
        <v>0</v>
      </c>
      <c r="M33" s="202">
        <f>(((PMT(Assessment!$D$21+Assessment!$D$18,M2,Assessment!$D$128,,0))))</f>
        <v>0</v>
      </c>
      <c r="N33" s="202">
        <f>(((PMT(Assessment!$D$21+Assessment!$D$18,N2,Assessment!$D$128,,0))))</f>
        <v>0</v>
      </c>
      <c r="O33" s="203">
        <f>(((PMT(Assessment!$D$21+Assessment!$D$18,O2,Assessment!$D$128,,0))))</f>
        <v>0</v>
      </c>
      <c r="P33" s="202">
        <f>(((PMT(Assessment!$D$21+Assessment!$D$18,P2,Assessment!$D$128,,0))))</f>
        <v>0</v>
      </c>
      <c r="Q33" s="202">
        <f>(((PMT(Assessment!$D$21+Assessment!$D$18,Q2,Assessment!$D$128,,0))))</f>
        <v>0</v>
      </c>
      <c r="R33" s="202">
        <f>(((PMT(Assessment!$D$21+Assessment!$D$18,R2,Assessment!$D$128,,0))))</f>
        <v>0</v>
      </c>
      <c r="S33" s="202">
        <f>(((PMT(Assessment!$D$21+Assessment!$D$18,S2,Assessment!$D$128,,0))))</f>
        <v>0</v>
      </c>
      <c r="T33" s="202">
        <f>(((PMT(Assessment!$D$21+Assessment!$D$18,T2,Assessment!$D$128,,0))))</f>
        <v>0</v>
      </c>
      <c r="U33" s="202">
        <f>(((PMT(Assessment!$D$21+Assessment!$D$18,U2,Assessment!$D$128,,0))))</f>
        <v>0</v>
      </c>
      <c r="V33" s="202">
        <f>(((PMT(Assessment!$D$21+Assessment!$D$18,V2,Assessment!$D$128,,0))))</f>
        <v>0</v>
      </c>
      <c r="W33" s="202">
        <f>(((PMT(Assessment!$D$21+Assessment!$D$18,W2,Assessment!$D$128,,0))))</f>
        <v>0</v>
      </c>
      <c r="X33" s="202">
        <f>(((PMT(Assessment!$D$21+Assessment!$D$18,X2,Assessment!$D$128,,0))))</f>
        <v>0</v>
      </c>
      <c r="Y33" s="202">
        <f>(((PMT(Assessment!$D$21+Assessment!$D$18,Y2,Assessment!$D$128,,0))))</f>
        <v>0</v>
      </c>
      <c r="Z33" s="202">
        <f>(((PMT(Assessment!$D$21+Assessment!$D$18,Z2,Assessment!$D$128,,0))))</f>
        <v>0</v>
      </c>
      <c r="AA33" s="202">
        <f>(((PMT(Assessment!$D$21+Assessment!$D$18,AA2,Assessment!$D$128,,0))))</f>
        <v>0</v>
      </c>
      <c r="AB33" s="202">
        <f>(((PMT(Assessment!$D$21+Assessment!$D$18,AB2,Assessment!$D$128,,0))))</f>
        <v>0</v>
      </c>
      <c r="AC33" s="202">
        <f>(((PMT(Assessment!$D$21+Assessment!$D$18,AC2,Assessment!$D$128,,0))))</f>
        <v>0</v>
      </c>
      <c r="AD33" s="203">
        <f>(((PMT(Assessment!$D$21+Assessment!$D$18,AD2,Assessment!$D$128,,0))))</f>
        <v>0</v>
      </c>
      <c r="AE33" s="202">
        <f>(((PMT(Assessment!$D$21+Assessment!$D$18,AE2,Assessment!$D$128,,0))))</f>
        <v>0</v>
      </c>
      <c r="AF33" s="202">
        <f>(((PMT(Assessment!$D$21+Assessment!$D$18,AF2,Assessment!$D$128,,0))))</f>
        <v>0</v>
      </c>
      <c r="AG33" s="202">
        <f>(((PMT(Assessment!$D$21+Assessment!$D$18,AG2,Assessment!$D$128,,0))))</f>
        <v>0</v>
      </c>
      <c r="AH33" s="202">
        <f>(((PMT(Assessment!$D$21+Assessment!$D$18,AH2,Assessment!$D$128,,0))))</f>
        <v>0</v>
      </c>
      <c r="AI33" s="202">
        <f>(((PMT(Assessment!$D$21+Assessment!$D$18,AI2,Assessment!$D$128,,0))))</f>
        <v>0</v>
      </c>
      <c r="AJ33" s="202">
        <f>(((PMT(Assessment!$D$21+Assessment!$D$18,AJ2,Assessment!$D$128,,0))))</f>
        <v>0</v>
      </c>
      <c r="AK33" s="202">
        <f>(((PMT(Assessment!$D$21+Assessment!$D$18,AK2,Assessment!$D$128,,0))))</f>
        <v>0</v>
      </c>
      <c r="AL33" s="202">
        <f>(((PMT(Assessment!$D$21+Assessment!$D$18,AL2,Assessment!$D$128,,0))))</f>
        <v>0</v>
      </c>
      <c r="AM33" s="202">
        <f>(((PMT(Assessment!$D$21+Assessment!$D$18,AM2,Assessment!$D$128,,0))))</f>
        <v>0</v>
      </c>
      <c r="AN33" s="202">
        <f>(((PMT(Assessment!$D$21+Assessment!$D$18,AN2,Assessment!$D$128,,0))))</f>
        <v>0</v>
      </c>
      <c r="AO33" s="202">
        <f>(((PMT(Assessment!$D$21+Assessment!$D$18,AO2,Assessment!$D$128,,0))))</f>
        <v>0</v>
      </c>
      <c r="AP33" s="202">
        <f>(((PMT(Assessment!$D$21+Assessment!$D$18,AP2,Assessment!$D$128,,0))))</f>
        <v>0</v>
      </c>
      <c r="AQ33" s="202">
        <f>(((PMT(Assessment!$D$21+Assessment!$D$18,AQ2,Assessment!$D$128,,0))))</f>
        <v>0</v>
      </c>
      <c r="AR33" s="202">
        <f>(((PMT(Assessment!$D$21+Assessment!$D$18,AR2,Assessment!$D$128,,0))))</f>
        <v>0</v>
      </c>
      <c r="AS33" s="202">
        <f>(((PMT(Assessment!$D$21+Assessment!$D$18,AS2,Assessment!$D$128,,0))))</f>
        <v>0</v>
      </c>
      <c r="AT33" s="202">
        <f>(((PMT(Assessment!$D$21+Assessment!$D$18,AT2,Assessment!$D$128,,0))))</f>
        <v>0</v>
      </c>
      <c r="AU33" s="202">
        <f>(((PMT(Assessment!$D$21+Assessment!$D$18,AU2,Assessment!$D$128,,0))))</f>
        <v>0</v>
      </c>
      <c r="AV33" s="202">
        <f>(((PMT(Assessment!$D$21+Assessment!$D$18,AV2,Assessment!$D$128,,0))))</f>
        <v>0</v>
      </c>
      <c r="AW33" s="202">
        <f>(((PMT(Assessment!$D$21+Assessment!$D$18,AW2,Assessment!$D$128,,0))))</f>
        <v>0</v>
      </c>
      <c r="AX33" s="202">
        <f>(((PMT(Assessment!$D$21+Assessment!$D$18,AX2,Assessment!$D$128,,0))))</f>
        <v>0</v>
      </c>
      <c r="AY33" s="202">
        <f>(((PMT(Assessment!$D$21+Assessment!$D$18,AY2,Assessment!$D$128,,0))))</f>
        <v>0</v>
      </c>
      <c r="AZ33" s="202">
        <f>(((PMT(Assessment!$D$21+Assessment!$D$18,AZ2,Assessment!$D$128,,0))))</f>
        <v>0</v>
      </c>
      <c r="BA33" s="202">
        <f>(((PMT(Assessment!$D$21+Assessment!$D$18,BA2,Assessment!$D$128,,0))))</f>
        <v>0</v>
      </c>
      <c r="BB33" s="202">
        <f>(((PMT(Assessment!$D$21+Assessment!$D$18,BB2,Assessment!$D$128,,0))))</f>
        <v>0</v>
      </c>
      <c r="BC33" s="202">
        <f>(((PMT(Assessment!$D$21+Assessment!$D$18,BC2,Assessment!$D$128,,0))))</f>
        <v>0</v>
      </c>
      <c r="BD33" s="202">
        <f>(((PMT(Assessment!$D$21+Assessment!$D$18,BD2,Assessment!$D$128,,0))))</f>
        <v>0</v>
      </c>
      <c r="BE33" s="202">
        <f>(((PMT(Assessment!$D$21+Assessment!$D$18,BE2,Assessment!$D$128,,0))))</f>
        <v>0</v>
      </c>
      <c r="BF33" s="202">
        <f>(((PMT(Assessment!$D$21+Assessment!$D$18,BF2,Assessment!$D$128,,0))))</f>
        <v>0</v>
      </c>
      <c r="BG33" s="202">
        <f>(((PMT(Assessment!$D$21+Assessment!$D$18,BG2,Assessment!$D$128,,0))))</f>
        <v>0</v>
      </c>
      <c r="BH33" s="202">
        <f>(((PMT(Assessment!$D$21+Assessment!$D$18,BH2,Assessment!$D$128,,0))))</f>
        <v>0</v>
      </c>
      <c r="BI33" s="202">
        <f>(((PMT(Assessment!$D$21+Assessment!$D$18,BI2,Assessment!$D$128,,0))))</f>
        <v>0</v>
      </c>
      <c r="BJ33" s="202">
        <f>(((PMT(Assessment!$D$21+Assessment!$D$18,BJ2,Assessment!$D$128,,0))))</f>
        <v>0</v>
      </c>
      <c r="BK33" s="202">
        <f>(((PMT(Assessment!$D$21+Assessment!$D$18,BK2,Assessment!$D$128,,0))))</f>
        <v>0</v>
      </c>
      <c r="BL33" s="202">
        <f>(((PMT(Assessment!$D$21+Assessment!$D$18,BL2,Assessment!$D$128,,0))))</f>
        <v>0</v>
      </c>
      <c r="BM33" s="202">
        <f>(((PMT(Assessment!$D$21+Assessment!$D$18,BM2,Assessment!$D$128,,0))))</f>
        <v>0</v>
      </c>
      <c r="BN33" s="202">
        <f>(((PMT(Assessment!$D$21+Assessment!$D$18,BN2,Assessment!$D$128,,0))))</f>
        <v>0</v>
      </c>
      <c r="BO33" s="202">
        <f>(((PMT(Assessment!$D$21+Assessment!$D$18,BO2,Assessment!$D$128,,0))))</f>
        <v>0</v>
      </c>
      <c r="BP33" s="202">
        <f>(((PMT(Assessment!$D$21+Assessment!$D$18,BP2,Assessment!$D$128,,0))))</f>
        <v>0</v>
      </c>
      <c r="BQ33" s="202">
        <f>(((PMT(Assessment!$D$21+Assessment!$D$18,BQ2,Assessment!$D$128,,0))))</f>
        <v>0</v>
      </c>
      <c r="BR33" s="202">
        <f>(((PMT(Assessment!$D$21+Assessment!$D$18,BR2,Assessment!$D$128,,0))))</f>
        <v>0</v>
      </c>
      <c r="BS33" s="202">
        <f>(((PMT(Assessment!$D$21+Assessment!$D$18,BS2,Assessment!$D$128,,0))))</f>
        <v>0</v>
      </c>
      <c r="BT33" s="202">
        <f>(((PMT(Assessment!$D$21+Assessment!$D$18,BT2,Assessment!$D$128,,0))))</f>
        <v>0</v>
      </c>
      <c r="BU33" s="202">
        <f>(((PMT(Assessment!$D$21+Assessment!$D$18,BU2,Assessment!$D$128,,0))))</f>
        <v>0</v>
      </c>
      <c r="BV33" s="202">
        <f>(((PMT(Assessment!$D$21+Assessment!$D$18,BV2,Assessment!$D$128,,0))))</f>
        <v>0</v>
      </c>
      <c r="BW33" s="202">
        <f>(((PMT(Assessment!$D$21+Assessment!$D$18,BW2,Assessment!$D$128,,0))))</f>
        <v>0</v>
      </c>
      <c r="BX33" s="202">
        <f>(((PMT(Assessment!$D$21+Assessment!$D$18,BX2,Assessment!$D$128,,0))))</f>
        <v>0</v>
      </c>
      <c r="BY33" s="202">
        <f>(((PMT(Assessment!$D$21+Assessment!$D$18,BY2,Assessment!$D$128,,0))))</f>
        <v>0</v>
      </c>
      <c r="BZ33" s="202">
        <f>(((PMT(Assessment!$D$21+Assessment!$D$18,BZ2,Assessment!$D$128,,0))))</f>
        <v>0</v>
      </c>
      <c r="CA33" s="202">
        <f>(((PMT(Assessment!$D$21+Assessment!$D$18,CA2,Assessment!$D$128,,0))))</f>
        <v>0</v>
      </c>
      <c r="CB33" s="202">
        <f>(((PMT(Assessment!$D$21+Assessment!$D$18,CB2,Assessment!$D$128,,0))))</f>
        <v>0</v>
      </c>
      <c r="CC33" s="202">
        <f>(((PMT(Assessment!$D$21+Assessment!$D$18,CC2,Assessment!$D$128,,0))))</f>
        <v>0</v>
      </c>
      <c r="CD33" s="202">
        <f>(((PMT(Assessment!$D$21+Assessment!$D$18,CD2,Assessment!$D$128,,0))))</f>
        <v>0</v>
      </c>
      <c r="CE33" s="202">
        <f>(((PMT(Assessment!$D$21+Assessment!$D$18,CE2,Assessment!$D$128,,0))))</f>
        <v>0</v>
      </c>
      <c r="CF33" s="202">
        <f>(((PMT(Assessment!$D$21+Assessment!$D$18,CF2,Assessment!$D$128,,0))))</f>
        <v>0</v>
      </c>
      <c r="CG33" s="202">
        <f>(((PMT(Assessment!$D$21+Assessment!$D$18,CG2,Assessment!$D$128,,0))))</f>
        <v>0</v>
      </c>
      <c r="CH33" s="202">
        <f>(((PMT(Assessment!$D$21+Assessment!$D$18,CH2,Assessment!$D$128,,0))))</f>
        <v>0</v>
      </c>
      <c r="CI33" s="202">
        <f>(((PMT(Assessment!$D$21+Assessment!$D$18,CI2,Assessment!$D$128,,0))))</f>
        <v>0</v>
      </c>
      <c r="CJ33" s="202">
        <f>(((PMT(Assessment!$D$21+Assessment!$D$18,CJ2,Assessment!$D$128,,0))))</f>
        <v>0</v>
      </c>
      <c r="CK33" s="202">
        <f>(((PMT(Assessment!$D$21+Assessment!$D$18,CK2,Assessment!$D$128,,0))))</f>
        <v>0</v>
      </c>
      <c r="CL33" s="202">
        <f>(((PMT(Assessment!$D$21+Assessment!$D$18,CL2,Assessment!$D$128,,0))))</f>
        <v>0</v>
      </c>
      <c r="CM33" s="202">
        <f>(((PMT(Assessment!$D$21+Assessment!$D$18,CM2,Assessment!$D$128,,0))))</f>
        <v>0</v>
      </c>
      <c r="CN33" s="202">
        <f>(((PMT(Assessment!$D$21+Assessment!$D$18,CN2,Assessment!$D$128,,0))))</f>
        <v>0</v>
      </c>
      <c r="CO33" s="202">
        <f>(((PMT(Assessment!$D$21+Assessment!$D$18,CO2,Assessment!$D$128,,0))))</f>
        <v>0</v>
      </c>
      <c r="CP33" s="202">
        <f>(((PMT(Assessment!$D$21+Assessment!$D$18,CP2,Assessment!$D$128,,0))))</f>
        <v>0</v>
      </c>
      <c r="CQ33" s="202">
        <f>(((PMT(Assessment!$D$21+Assessment!$D$18,CQ2,Assessment!$D$128,,0))))</f>
        <v>0</v>
      </c>
      <c r="CR33" s="202">
        <f>(((PMT(Assessment!$D$21+Assessment!$D$18,CR2,Assessment!$D$128,,0))))</f>
        <v>0</v>
      </c>
      <c r="CS33" s="202">
        <f>(((PMT(Assessment!$D$21+Assessment!$D$18,CS2,Assessment!$D$128,,0))))</f>
        <v>0</v>
      </c>
      <c r="CT33" s="202">
        <f>(((PMT(Assessment!$D$21+Assessment!$D$18,CT2,Assessment!$D$128,,0))))</f>
        <v>0</v>
      </c>
      <c r="CU33" s="202">
        <f>(((PMT(Assessment!$D$21+Assessment!$D$18,CU2,Assessment!$D$128,,0))))</f>
        <v>0</v>
      </c>
      <c r="CV33" s="202">
        <f>(((PMT(Assessment!$D$21+Assessment!$D$18,CV2,Assessment!$D$128,,0))))</f>
        <v>0</v>
      </c>
      <c r="CW33" s="202">
        <f>(((PMT(Assessment!$D$21+Assessment!$D$18,CW2,Assessment!$D$128,,0))))</f>
        <v>0</v>
      </c>
      <c r="CX33" s="202">
        <f>(((PMT(Assessment!$D$21+Assessment!$D$18,CX2,Assessment!$D$128,,0))))</f>
        <v>0</v>
      </c>
      <c r="CY33" s="202">
        <f>(((PMT(Assessment!$D$21+Assessment!$D$18,CY2,Assessment!$D$128,,0))))</f>
        <v>0</v>
      </c>
      <c r="CZ33" s="202">
        <f>(((PMT(Assessment!$D$21+Assessment!$D$18,CZ2,Assessment!$D$128,,0))))</f>
        <v>0</v>
      </c>
      <c r="DA33" s="202">
        <f>(((PMT(Assessment!$D$21+Assessment!$D$18,DA2,Assessment!$D$128,,0))))</f>
        <v>0</v>
      </c>
    </row>
    <row r="34" spans="1:105" s="139" customFormat="1" ht="22.5" customHeight="1" x14ac:dyDescent="0.2">
      <c r="A34" s="323"/>
      <c r="B34" s="326"/>
      <c r="C34" s="318"/>
      <c r="D34" s="137" t="s">
        <v>163</v>
      </c>
      <c r="E34" s="138"/>
      <c r="F34" s="202">
        <f>(((PMT(Assessment!$D22+Assessment!$D$18,F2,Assessment!$D$128,,0))))</f>
        <v>0</v>
      </c>
      <c r="G34" s="202">
        <f>(((PMT(Assessment!$D22+Assessment!$D$18,G2,Assessment!$D$128,,0))))</f>
        <v>0</v>
      </c>
      <c r="H34" s="202">
        <f>(((PMT(Assessment!$D22+Assessment!$D$18,H2,Assessment!$D$128,,0))))</f>
        <v>0</v>
      </c>
      <c r="I34" s="202">
        <f>(((PMT(Assessment!$D22+Assessment!$D$18,I2,Assessment!$D$128,,0))))</f>
        <v>0</v>
      </c>
      <c r="J34" s="203">
        <f>(((PMT(Assessment!$D22+Assessment!$D$18,J2,Assessment!$D$128,,0))))</f>
        <v>0</v>
      </c>
      <c r="K34" s="202">
        <f>(((PMT(Assessment!$D22+Assessment!$D$18,K2,Assessment!$D$128,,0))))</f>
        <v>0</v>
      </c>
      <c r="L34" s="202">
        <f>(((PMT(Assessment!$D22+Assessment!$D$18,L2,Assessment!$D$128,,0))))</f>
        <v>0</v>
      </c>
      <c r="M34" s="202">
        <f>(((PMT(Assessment!$D22+Assessment!$D$18,M2,Assessment!$D$128,,0))))</f>
        <v>0</v>
      </c>
      <c r="N34" s="202">
        <f>(((PMT(Assessment!$D22+Assessment!$D$18,N2,Assessment!$D$128,,0))))</f>
        <v>0</v>
      </c>
      <c r="O34" s="203">
        <f>(((PMT(Assessment!$D22+Assessment!$D$18,O2,Assessment!$D$128,,0))))</f>
        <v>0</v>
      </c>
      <c r="P34" s="202">
        <f>(((PMT(Assessment!$D22+Assessment!$D$18,P2,Assessment!$D$128,,0))))</f>
        <v>0</v>
      </c>
      <c r="Q34" s="202">
        <f>(((PMT(Assessment!$D22+Assessment!$D$18,Q2,Assessment!$D$128,,0))))</f>
        <v>0</v>
      </c>
      <c r="R34" s="202">
        <f>(((PMT(Assessment!$D22+Assessment!$D$18,R2,Assessment!$D$128,,0))))</f>
        <v>0</v>
      </c>
      <c r="S34" s="202">
        <f>(((PMT(Assessment!$D22+Assessment!$D$18,S2,Assessment!$D$128,,0))))</f>
        <v>0</v>
      </c>
      <c r="T34" s="202">
        <f>(((PMT(Assessment!$D22+Assessment!$D$18,T2,Assessment!$D$128,,0))))</f>
        <v>0</v>
      </c>
      <c r="U34" s="202">
        <f>(((PMT(Assessment!$D22+Assessment!$D$18,U2,Assessment!$D$128,,0))))</f>
        <v>0</v>
      </c>
      <c r="V34" s="202">
        <f>(((PMT(Assessment!$D22+Assessment!$D$18,V2,Assessment!$D$128,,0))))</f>
        <v>0</v>
      </c>
      <c r="W34" s="202">
        <f>(((PMT(Assessment!$D22+Assessment!$D$18,W2,Assessment!$D$128,,0))))</f>
        <v>0</v>
      </c>
      <c r="X34" s="202">
        <f>(((PMT(Assessment!$D22+Assessment!$D$18,X2,Assessment!$D$128,,0))))</f>
        <v>0</v>
      </c>
      <c r="Y34" s="202">
        <f>(((PMT(Assessment!$D22+Assessment!$D$18,Y2,Assessment!$D$128,,0))))</f>
        <v>0</v>
      </c>
      <c r="Z34" s="202">
        <f>(((PMT(Assessment!$D22+Assessment!$D$18,Z2,Assessment!$D$128,,0))))</f>
        <v>0</v>
      </c>
      <c r="AA34" s="202">
        <f>(((PMT(Assessment!$D22+Assessment!$D$18,AA2,Assessment!$D$128,,0))))</f>
        <v>0</v>
      </c>
      <c r="AB34" s="202">
        <f>(((PMT(Assessment!$D22+Assessment!$D$18,AB2,Assessment!$D$128,,0))))</f>
        <v>0</v>
      </c>
      <c r="AC34" s="202">
        <f>(((PMT(Assessment!$D22+Assessment!$D$18,AC2,Assessment!$D$128,,0))))</f>
        <v>0</v>
      </c>
      <c r="AD34" s="203">
        <f>(((PMT(Assessment!$D22+Assessment!$D$18,AD2,Assessment!$D$128,,0))))</f>
        <v>0</v>
      </c>
      <c r="AE34" s="202">
        <f>(((PMT(Assessment!$D22+Assessment!$D$18,AE2,Assessment!$D$128,,0))))</f>
        <v>0</v>
      </c>
      <c r="AF34" s="202">
        <f>(((PMT(Assessment!$D22+Assessment!$D$18,AF2,Assessment!$D$128,,0))))</f>
        <v>0</v>
      </c>
      <c r="AG34" s="202">
        <f>(((PMT(Assessment!$D22+Assessment!$D$18,AG2,Assessment!$D$128,,0))))</f>
        <v>0</v>
      </c>
      <c r="AH34" s="202">
        <f>(((PMT(Assessment!$D22+Assessment!$D$18,AH2,Assessment!$D$128,,0))))</f>
        <v>0</v>
      </c>
      <c r="AI34" s="202">
        <f>(((PMT(Assessment!$D22+Assessment!$D$18,AI2,Assessment!$D$128,,0))))</f>
        <v>0</v>
      </c>
      <c r="AJ34" s="202">
        <f>(((PMT(Assessment!$D22+Assessment!$D$18,AJ2,Assessment!$D$128,,0))))</f>
        <v>0</v>
      </c>
      <c r="AK34" s="202">
        <f>(((PMT(Assessment!$D22+Assessment!$D$18,AK2,Assessment!$D$128,,0))))</f>
        <v>0</v>
      </c>
      <c r="AL34" s="202">
        <f>(((PMT(Assessment!$D22+Assessment!$D$18,AL2,Assessment!$D$128,,0))))</f>
        <v>0</v>
      </c>
      <c r="AM34" s="202">
        <f>(((PMT(Assessment!$D22+Assessment!$D$18,AM2,Assessment!$D$128,,0))))</f>
        <v>0</v>
      </c>
      <c r="AN34" s="202">
        <f>(((PMT(Assessment!$D22+Assessment!$D$18,AN2,Assessment!$D$128,,0))))</f>
        <v>0</v>
      </c>
      <c r="AO34" s="202">
        <f>(((PMT(Assessment!$D22+Assessment!$D$18,AO2,Assessment!$D$128,,0))))</f>
        <v>0</v>
      </c>
      <c r="AP34" s="202">
        <f>(((PMT(Assessment!$D22+Assessment!$D$18,AP2,Assessment!$D$128,,0))))</f>
        <v>0</v>
      </c>
      <c r="AQ34" s="202">
        <f>(((PMT(Assessment!$D22+Assessment!$D$18,AQ2,Assessment!$D$128,,0))))</f>
        <v>0</v>
      </c>
      <c r="AR34" s="202">
        <f>(((PMT(Assessment!$D22+Assessment!$D$18,AR2,Assessment!$D$128,,0))))</f>
        <v>0</v>
      </c>
      <c r="AS34" s="202">
        <f>(((PMT(Assessment!$D22+Assessment!$D$18,AS2,Assessment!$D$128,,0))))</f>
        <v>0</v>
      </c>
      <c r="AT34" s="202">
        <f>(((PMT(Assessment!$D22+Assessment!$D$18,AT2,Assessment!$D$128,,0))))</f>
        <v>0</v>
      </c>
      <c r="AU34" s="202">
        <f>(((PMT(Assessment!$D22+Assessment!$D$18,AU2,Assessment!$D$128,,0))))</f>
        <v>0</v>
      </c>
      <c r="AV34" s="202">
        <f>(((PMT(Assessment!$D22+Assessment!$D$18,AV2,Assessment!$D$128,,0))))</f>
        <v>0</v>
      </c>
      <c r="AW34" s="202">
        <f>(((PMT(Assessment!$D22+Assessment!$D$18,AW2,Assessment!$D$128,,0))))</f>
        <v>0</v>
      </c>
      <c r="AX34" s="202">
        <f>(((PMT(Assessment!$D22+Assessment!$D$18,AX2,Assessment!$D$128,,0))))</f>
        <v>0</v>
      </c>
      <c r="AY34" s="202">
        <f>(((PMT(Assessment!$D22+Assessment!$D$18,AY2,Assessment!$D$128,,0))))</f>
        <v>0</v>
      </c>
      <c r="AZ34" s="202">
        <f>(((PMT(Assessment!$D22+Assessment!$D$18,AZ2,Assessment!$D$128,,0))))</f>
        <v>0</v>
      </c>
      <c r="BA34" s="202">
        <f>(((PMT(Assessment!$D22+Assessment!$D$18,BA2,Assessment!$D$128,,0))))</f>
        <v>0</v>
      </c>
      <c r="BB34" s="202">
        <f>(((PMT(Assessment!$D22+Assessment!$D$18,BB2,Assessment!$D$128,,0))))</f>
        <v>0</v>
      </c>
      <c r="BC34" s="202">
        <f>(((PMT(Assessment!$D22+Assessment!$D$18,BC2,Assessment!$D$128,,0))))</f>
        <v>0</v>
      </c>
      <c r="BD34" s="202">
        <f>(((PMT(Assessment!$D22+Assessment!$D$18,BD2,Assessment!$D$128,,0))))</f>
        <v>0</v>
      </c>
      <c r="BE34" s="202">
        <f>(((PMT(Assessment!$D22+Assessment!$D$18,BE2,Assessment!$D$128,,0))))</f>
        <v>0</v>
      </c>
      <c r="BF34" s="202">
        <f>(((PMT(Assessment!$D22+Assessment!$D$18,BF2,Assessment!$D$128,,0))))</f>
        <v>0</v>
      </c>
      <c r="BG34" s="202">
        <f>(((PMT(Assessment!$D22+Assessment!$D$18,BG2,Assessment!$D$128,,0))))</f>
        <v>0</v>
      </c>
      <c r="BH34" s="202">
        <f>(((PMT(Assessment!$D22+Assessment!$D$18,BH2,Assessment!$D$128,,0))))</f>
        <v>0</v>
      </c>
      <c r="BI34" s="202">
        <f>(((PMT(Assessment!$D22+Assessment!$D$18,BI2,Assessment!$D$128,,0))))</f>
        <v>0</v>
      </c>
      <c r="BJ34" s="202">
        <f>(((PMT(Assessment!$D22+Assessment!$D$18,BJ2,Assessment!$D$128,,0))))</f>
        <v>0</v>
      </c>
      <c r="BK34" s="202">
        <f>(((PMT(Assessment!$D22+Assessment!$D$18,BK2,Assessment!$D$128,,0))))</f>
        <v>0</v>
      </c>
      <c r="BL34" s="202">
        <f>(((PMT(Assessment!$D22+Assessment!$D$18,BL2,Assessment!$D$128,,0))))</f>
        <v>0</v>
      </c>
      <c r="BM34" s="202">
        <f>(((PMT(Assessment!$D22+Assessment!$D$18,BM2,Assessment!$D$128,,0))))</f>
        <v>0</v>
      </c>
      <c r="BN34" s="202">
        <f>(((PMT(Assessment!$D22+Assessment!$D$18,BN2,Assessment!$D$128,,0))))</f>
        <v>0</v>
      </c>
      <c r="BO34" s="202">
        <f>(((PMT(Assessment!$D22+Assessment!$D$18,BO2,Assessment!$D$128,,0))))</f>
        <v>0</v>
      </c>
      <c r="BP34" s="202">
        <f>(((PMT(Assessment!$D22+Assessment!$D$18,BP2,Assessment!$D$128,,0))))</f>
        <v>0</v>
      </c>
      <c r="BQ34" s="202">
        <f>(((PMT(Assessment!$D22+Assessment!$D$18,BQ2,Assessment!$D$128,,0))))</f>
        <v>0</v>
      </c>
      <c r="BR34" s="202">
        <f>(((PMT(Assessment!$D22+Assessment!$D$18,BR2,Assessment!$D$128,,0))))</f>
        <v>0</v>
      </c>
      <c r="BS34" s="202">
        <f>(((PMT(Assessment!$D22+Assessment!$D$18,BS2,Assessment!$D$128,,0))))</f>
        <v>0</v>
      </c>
      <c r="BT34" s="202">
        <f>(((PMT(Assessment!$D22+Assessment!$D$18,BT2,Assessment!$D$128,,0))))</f>
        <v>0</v>
      </c>
      <c r="BU34" s="202">
        <f>(((PMT(Assessment!$D22+Assessment!$D$18,BU2,Assessment!$D$128,,0))))</f>
        <v>0</v>
      </c>
      <c r="BV34" s="202">
        <f>(((PMT(Assessment!$D22+Assessment!$D$18,BV2,Assessment!$D$128,,0))))</f>
        <v>0</v>
      </c>
      <c r="BW34" s="202">
        <f>(((PMT(Assessment!$D22+Assessment!$D$18,BW2,Assessment!$D$128,,0))))</f>
        <v>0</v>
      </c>
      <c r="BX34" s="202">
        <f>(((PMT(Assessment!$D22+Assessment!$D$18,BX2,Assessment!$D$128,,0))))</f>
        <v>0</v>
      </c>
      <c r="BY34" s="202">
        <f>(((PMT(Assessment!$D22+Assessment!$D$18,BY2,Assessment!$D$128,,0))))</f>
        <v>0</v>
      </c>
      <c r="BZ34" s="202">
        <f>(((PMT(Assessment!$D22+Assessment!$D$18,BZ2,Assessment!$D$128,,0))))</f>
        <v>0</v>
      </c>
      <c r="CA34" s="202">
        <f>(((PMT(Assessment!$D22+Assessment!$D$18,CA2,Assessment!$D$128,,0))))</f>
        <v>0</v>
      </c>
      <c r="CB34" s="202">
        <f>(((PMT(Assessment!$D22+Assessment!$D$18,CB2,Assessment!$D$128,,0))))</f>
        <v>0</v>
      </c>
      <c r="CC34" s="202">
        <f>(((PMT(Assessment!$D22+Assessment!$D$18,CC2,Assessment!$D$128,,0))))</f>
        <v>0</v>
      </c>
      <c r="CD34" s="202">
        <f>(((PMT(Assessment!$D22+Assessment!$D$18,CD2,Assessment!$D$128,,0))))</f>
        <v>0</v>
      </c>
      <c r="CE34" s="202">
        <f>(((PMT(Assessment!$D22+Assessment!$D$18,CE2,Assessment!$D$128,,0))))</f>
        <v>0</v>
      </c>
      <c r="CF34" s="202">
        <f>(((PMT(Assessment!$D22+Assessment!$D$18,CF2,Assessment!$D$128,,0))))</f>
        <v>0</v>
      </c>
      <c r="CG34" s="202">
        <f>(((PMT(Assessment!$D22+Assessment!$D$18,CG2,Assessment!$D$128,,0))))</f>
        <v>0</v>
      </c>
      <c r="CH34" s="202">
        <f>(((PMT(Assessment!$D22+Assessment!$D$18,CH2,Assessment!$D$128,,0))))</f>
        <v>0</v>
      </c>
      <c r="CI34" s="202">
        <f>(((PMT(Assessment!$D22+Assessment!$D$18,CI2,Assessment!$D$128,,0))))</f>
        <v>0</v>
      </c>
      <c r="CJ34" s="202">
        <f>(((PMT(Assessment!$D22+Assessment!$D$18,CJ2,Assessment!$D$128,,0))))</f>
        <v>0</v>
      </c>
      <c r="CK34" s="202">
        <f>(((PMT(Assessment!$D22+Assessment!$D$18,CK2,Assessment!$D$128,,0))))</f>
        <v>0</v>
      </c>
      <c r="CL34" s="202">
        <f>(((PMT(Assessment!$D22+Assessment!$D$18,CL2,Assessment!$D$128,,0))))</f>
        <v>0</v>
      </c>
      <c r="CM34" s="202">
        <f>(((PMT(Assessment!$D22+Assessment!$D$18,CM2,Assessment!$D$128,,0))))</f>
        <v>0</v>
      </c>
      <c r="CN34" s="202">
        <f>(((PMT(Assessment!$D22+Assessment!$D$18,CN2,Assessment!$D$128,,0))))</f>
        <v>0</v>
      </c>
      <c r="CO34" s="202">
        <f>(((PMT(Assessment!$D22+Assessment!$D$18,CO2,Assessment!$D$128,,0))))</f>
        <v>0</v>
      </c>
      <c r="CP34" s="202">
        <f>(((PMT(Assessment!$D22+Assessment!$D$18,CP2,Assessment!$D$128,,0))))</f>
        <v>0</v>
      </c>
      <c r="CQ34" s="202">
        <f>(((PMT(Assessment!$D22+Assessment!$D$18,CQ2,Assessment!$D$128,,0))))</f>
        <v>0</v>
      </c>
      <c r="CR34" s="202">
        <f>(((PMT(Assessment!$D22+Assessment!$D$18,CR2,Assessment!$D$128,,0))))</f>
        <v>0</v>
      </c>
      <c r="CS34" s="202">
        <f>(((PMT(Assessment!$D22+Assessment!$D$18,CS2,Assessment!$D$128,,0))))</f>
        <v>0</v>
      </c>
      <c r="CT34" s="202">
        <f>(((PMT(Assessment!$D22+Assessment!$D$18,CT2,Assessment!$D$128,,0))))</f>
        <v>0</v>
      </c>
      <c r="CU34" s="202">
        <f>(((PMT(Assessment!$D22+Assessment!$D$18,CU2,Assessment!$D$128,,0))))</f>
        <v>0</v>
      </c>
      <c r="CV34" s="202">
        <f>(((PMT(Assessment!$D22+Assessment!$D$18,CV2,Assessment!$D$128,,0))))</f>
        <v>0</v>
      </c>
      <c r="CW34" s="202">
        <f>(((PMT(Assessment!$D22+Assessment!$D$18,CW2,Assessment!$D$128,,0))))</f>
        <v>0</v>
      </c>
      <c r="CX34" s="202">
        <f>(((PMT(Assessment!$D22+Assessment!$D$18,CX2,Assessment!$D$128,,0))))</f>
        <v>0</v>
      </c>
      <c r="CY34" s="202">
        <f>(((PMT(Assessment!$D22+Assessment!$D$18,CY2,Assessment!$D$128,,0))))</f>
        <v>0</v>
      </c>
      <c r="CZ34" s="202">
        <f>(((PMT(Assessment!$D22+Assessment!$D$18,CZ2,Assessment!$D$128,,0))))</f>
        <v>0</v>
      </c>
      <c r="DA34" s="202">
        <f>(((PMT(Assessment!$D22+Assessment!$D$18,DA2,Assessment!$D$128,,0))))</f>
        <v>0</v>
      </c>
    </row>
    <row r="35" spans="1:105" s="139" customFormat="1" ht="22.5" hidden="1" customHeight="1" x14ac:dyDescent="0.2">
      <c r="A35" s="324"/>
      <c r="B35" s="152"/>
      <c r="C35" s="137" t="str">
        <f>Assessment!C220</f>
        <v>--</v>
      </c>
      <c r="D35" s="137" t="s">
        <v>247</v>
      </c>
      <c r="E35" s="138"/>
      <c r="F35" s="204">
        <f>(IF(Assessment!$D$124&gt;(Results_!F34*-1),(Assessment!$D$124+Results_!F34)/2,0))</f>
        <v>0</v>
      </c>
      <c r="G35" s="204">
        <f>(IF(Assessment!$D$124&gt;(Results_!G34*-1),(Assessment!$D$124+Results_!G34)/2,0))</f>
        <v>0</v>
      </c>
      <c r="H35" s="204">
        <f>(IF(Assessment!$D$124&gt;(Results_!H34*-1),(Assessment!$D$124+Results_!H34)/2,0))</f>
        <v>0</v>
      </c>
      <c r="I35" s="204">
        <f>(IF(Assessment!$D$124&gt;(Results_!I34*-1),(Assessment!$D$124+Results_!I34)/2,0))</f>
        <v>0</v>
      </c>
      <c r="J35" s="205">
        <f>(IF(Assessment!$D$124&gt;(Results_!J34*-1),(Assessment!$D$124+Results_!J34)/2,0))</f>
        <v>0</v>
      </c>
      <c r="K35" s="204">
        <f>(IF(Assessment!$D$124&gt;(Results_!K34*-1),(Assessment!$D$124+Results_!K34)/2,0))</f>
        <v>0</v>
      </c>
      <c r="L35" s="204">
        <f>(IF(Assessment!$D$124&gt;(Results_!L34*-1),(Assessment!$D$124+Results_!L34)/2,0))</f>
        <v>0</v>
      </c>
      <c r="M35" s="204">
        <f>(IF(Assessment!$D$124&gt;(Results_!M34*-1),(Assessment!$D$124+Results_!M34)/2,0))</f>
        <v>0</v>
      </c>
      <c r="N35" s="204">
        <f>(IF(Assessment!$D$124&gt;(Results_!N34*-1),(Assessment!$D$124+Results_!N34)/2,0))</f>
        <v>0</v>
      </c>
      <c r="O35" s="205">
        <f>(IF(Assessment!$D$124&gt;(Results_!O34*-1),(Assessment!$D$124+Results_!O34)/2,0))</f>
        <v>0</v>
      </c>
      <c r="P35" s="204">
        <f>(IF(Assessment!$D$124&gt;(Results_!P34*-1),(Assessment!$D$124+Results_!P34)/2,0))</f>
        <v>0</v>
      </c>
      <c r="Q35" s="204">
        <f>(IF(Assessment!$D$124&gt;(Results_!Q34*-1),(Assessment!$D$124+Results_!Q34)/2,0))</f>
        <v>0</v>
      </c>
      <c r="R35" s="204">
        <f>(IF(Assessment!$D$124&gt;(Results_!R34*-1),(Assessment!$D$124+Results_!R34)/2,0))</f>
        <v>0</v>
      </c>
      <c r="S35" s="204">
        <f>(IF(Assessment!$D$124&gt;(Results_!S34*-1),(Assessment!$D$124+Results_!S34)/2,0))</f>
        <v>0</v>
      </c>
      <c r="T35" s="204">
        <f>(IF(Assessment!$D$124&gt;(Results_!T34*-1),(Assessment!$D$124+Results_!T34)/2,0))</f>
        <v>0</v>
      </c>
      <c r="U35" s="204">
        <f>(IF(Assessment!$D$124&gt;(Results_!U34*-1),(Assessment!$D$124+Results_!U34)/2,0))</f>
        <v>0</v>
      </c>
      <c r="V35" s="204">
        <f>(IF(Assessment!$D$124&gt;(Results_!V34*-1),(Assessment!$D$124+Results_!V34)/2,0))</f>
        <v>0</v>
      </c>
      <c r="W35" s="204">
        <f>(IF(Assessment!$D$124&gt;(Results_!W34*-1),(Assessment!$D$124+Results_!W34)/2,0))</f>
        <v>0</v>
      </c>
      <c r="X35" s="204">
        <f>(IF(Assessment!$D$124&gt;(Results_!X34*-1),(Assessment!$D$124+Results_!X34)/2,0))</f>
        <v>0</v>
      </c>
      <c r="Y35" s="204">
        <f>(IF(Assessment!$D$124&gt;(Results_!Y34*-1),(Assessment!$D$124+Results_!Y34)/2,0))</f>
        <v>0</v>
      </c>
      <c r="Z35" s="204">
        <f>(IF(Assessment!$D$124&gt;(Results_!Z34*-1),(Assessment!$D$124+Results_!Z34)/2,0))</f>
        <v>0</v>
      </c>
      <c r="AA35" s="204">
        <f>(IF(Assessment!$D$124&gt;(Results_!AA34*-1),(Assessment!$D$124+Results_!AA34)/2,0))</f>
        <v>0</v>
      </c>
      <c r="AB35" s="204">
        <f>(IF(Assessment!$D$124&gt;(Results_!AB34*-1),(Assessment!$D$124+Results_!AB34)/2,0))</f>
        <v>0</v>
      </c>
      <c r="AC35" s="204">
        <f>(IF(Assessment!$D$124&gt;(Results_!AC34*-1),(Assessment!$D$124+Results_!AC34)/2,0))</f>
        <v>0</v>
      </c>
      <c r="AD35" s="205">
        <f>(IF(Assessment!$D$124&gt;(Results_!AD34*-1),(Assessment!$D$124+Results_!AD34)/2,0))</f>
        <v>0</v>
      </c>
      <c r="AE35" s="204">
        <f>(IF(Assessment!$D$124&gt;(Results_!AE34*-1),(Assessment!$D$124+Results_!AE34)/2,0))</f>
        <v>0</v>
      </c>
      <c r="AF35" s="204">
        <f>(IF(Assessment!$D$124&gt;(Results_!AF34*-1),(Assessment!$D$124+Results_!AF34)/2,0))</f>
        <v>0</v>
      </c>
      <c r="AG35" s="204">
        <f>(IF(Assessment!$D$124&gt;(Results_!AG34*-1),(Assessment!$D$124+Results_!AG34)/2,0))</f>
        <v>0</v>
      </c>
      <c r="AH35" s="204">
        <f>(IF(Assessment!$D$124&gt;(Results_!AH34*-1),(Assessment!$D$124+Results_!AH34)/2,0))</f>
        <v>0</v>
      </c>
      <c r="AI35" s="204">
        <f>(IF(Assessment!$D$124&gt;(Results_!AI34*-1),(Assessment!$D$124+Results_!AI34)/2,0))</f>
        <v>0</v>
      </c>
      <c r="AJ35" s="204">
        <f>(IF(Assessment!$D$124&gt;(Results_!AJ34*-1),(Assessment!$D$124+Results_!AJ34)/2,0))</f>
        <v>0</v>
      </c>
      <c r="AK35" s="204">
        <f>(IF(Assessment!$D$124&gt;(Results_!AK34*-1),(Assessment!$D$124+Results_!AK34)/2,0))</f>
        <v>0</v>
      </c>
      <c r="AL35" s="204">
        <f>(IF(Assessment!$D$124&gt;(Results_!AL34*-1),(Assessment!$D$124+Results_!AL34)/2,0))</f>
        <v>0</v>
      </c>
      <c r="AM35" s="204">
        <f>(IF(Assessment!$D$124&gt;(Results_!AM34*-1),(Assessment!$D$124+Results_!AM34)/2,0))</f>
        <v>0</v>
      </c>
      <c r="AN35" s="204">
        <f>(IF(Assessment!$D$124&gt;(Results_!AN34*-1),(Assessment!$D$124+Results_!AN34)/2,0))</f>
        <v>0</v>
      </c>
      <c r="AO35" s="204">
        <f>(IF(Assessment!$D$124&gt;(Results_!AO34*-1),(Assessment!$D$124+Results_!AO34)/2,0))</f>
        <v>0</v>
      </c>
      <c r="AP35" s="204">
        <f>(IF(Assessment!$D$124&gt;(Results_!AP34*-1),(Assessment!$D$124+Results_!AP34)/2,0))</f>
        <v>0</v>
      </c>
      <c r="AQ35" s="204">
        <f>(IF(Assessment!$D$124&gt;(Results_!AQ34*-1),(Assessment!$D$124+Results_!AQ34)/2,0))</f>
        <v>0</v>
      </c>
      <c r="AR35" s="204">
        <f>(IF(Assessment!$D$124&gt;(Results_!AR34*-1),(Assessment!$D$124+Results_!AR34)/2,0))</f>
        <v>0</v>
      </c>
      <c r="AS35" s="204">
        <f>(IF(Assessment!$D$124&gt;(Results_!AS34*-1),(Assessment!$D$124+Results_!AS34)/2,0))</f>
        <v>0</v>
      </c>
      <c r="AT35" s="204">
        <f>(IF(Assessment!$D$124&gt;(Results_!AT34*-1),(Assessment!$D$124+Results_!AT34)/2,0))</f>
        <v>0</v>
      </c>
      <c r="AU35" s="204">
        <f>(IF(Assessment!$D$124&gt;(Results_!AU34*-1),(Assessment!$D$124+Results_!AU34)/2,0))</f>
        <v>0</v>
      </c>
      <c r="AV35" s="204">
        <f>(IF(Assessment!$D$124&gt;(Results_!AV34*-1),(Assessment!$D$124+Results_!AV34)/2,0))</f>
        <v>0</v>
      </c>
      <c r="AW35" s="204">
        <f>(IF(Assessment!$D$124&gt;(Results_!AW34*-1),(Assessment!$D$124+Results_!AW34)/2,0))</f>
        <v>0</v>
      </c>
      <c r="AX35" s="204">
        <f>(IF(Assessment!$D$124&gt;(Results_!AX34*-1),(Assessment!$D$124+Results_!AX34)/2,0))</f>
        <v>0</v>
      </c>
      <c r="AY35" s="204">
        <f>(IF(Assessment!$D$124&gt;(Results_!AY34*-1),(Assessment!$D$124+Results_!AY34)/2,0))</f>
        <v>0</v>
      </c>
      <c r="AZ35" s="204">
        <f>(IF(Assessment!$D$124&gt;(Results_!AZ34*-1),(Assessment!$D$124+Results_!AZ34)/2,0))</f>
        <v>0</v>
      </c>
      <c r="BA35" s="204">
        <f>(IF(Assessment!$D$124&gt;(Results_!BA34*-1),(Assessment!$D$124+Results_!BA34)/2,0))</f>
        <v>0</v>
      </c>
      <c r="BB35" s="204">
        <f>(IF(Assessment!$D$124&gt;(Results_!BB34*-1),(Assessment!$D$124+Results_!BB34)/2,0))</f>
        <v>0</v>
      </c>
      <c r="BC35" s="204">
        <f>(IF(Assessment!$D$124&gt;(Results_!BC34*-1),(Assessment!$D$124+Results_!BC34)/2,0))</f>
        <v>0</v>
      </c>
      <c r="BD35" s="204">
        <f>(IF(Assessment!$D$124&gt;(Results_!BD34*-1),(Assessment!$D$124+Results_!BD34)/2,0))</f>
        <v>0</v>
      </c>
      <c r="BE35" s="204">
        <f>(IF(Assessment!$D$124&gt;(Results_!BE34*-1),(Assessment!$D$124+Results_!BE34)/2,0))</f>
        <v>0</v>
      </c>
      <c r="BF35" s="204">
        <f>(IF(Assessment!$D$124&gt;(Results_!BF34*-1),(Assessment!$D$124+Results_!BF34)/2,0))</f>
        <v>0</v>
      </c>
      <c r="BG35" s="204">
        <f>(IF(Assessment!$D$124&gt;(Results_!BG34*-1),(Assessment!$D$124+Results_!BG34)/2,0))</f>
        <v>0</v>
      </c>
      <c r="BH35" s="204">
        <f>(IF(Assessment!$D$124&gt;(Results_!BH34*-1),(Assessment!$D$124+Results_!BH34)/2,0))</f>
        <v>0</v>
      </c>
      <c r="BI35" s="204">
        <f>(IF(Assessment!$D$124&gt;(Results_!BI34*-1),(Assessment!$D$124+Results_!BI34)/2,0))</f>
        <v>0</v>
      </c>
      <c r="BJ35" s="204">
        <f>(IF(Assessment!$D$124&gt;(Results_!BJ34*-1),(Assessment!$D$124+Results_!BJ34)/2,0))</f>
        <v>0</v>
      </c>
      <c r="BK35" s="204">
        <f>(IF(Assessment!$D$124&gt;(Results_!BK34*-1),(Assessment!$D$124+Results_!BK34)/2,0))</f>
        <v>0</v>
      </c>
      <c r="BL35" s="204">
        <f>(IF(Assessment!$D$124&gt;(Results_!BL34*-1),(Assessment!$D$124+Results_!BL34)/2,0))</f>
        <v>0</v>
      </c>
      <c r="BM35" s="204">
        <f>(IF(Assessment!$D$124&gt;(Results_!BM34*-1),(Assessment!$D$124+Results_!BM34)/2,0))</f>
        <v>0</v>
      </c>
      <c r="BN35" s="204">
        <f>(IF(Assessment!$D$124&gt;(Results_!BN34*-1),(Assessment!$D$124+Results_!BN34)/2,0))</f>
        <v>0</v>
      </c>
      <c r="BO35" s="204">
        <f>(IF(Assessment!$D$124&gt;(Results_!BO34*-1),(Assessment!$D$124+Results_!BO34)/2,0))</f>
        <v>0</v>
      </c>
      <c r="BP35" s="204">
        <f>(IF(Assessment!$D$124&gt;(Results_!BP34*-1),(Assessment!$D$124+Results_!BP34)/2,0))</f>
        <v>0</v>
      </c>
      <c r="BQ35" s="204">
        <f>(IF(Assessment!$D$124&gt;(Results_!BQ34*-1),(Assessment!$D$124+Results_!BQ34)/2,0))</f>
        <v>0</v>
      </c>
      <c r="BR35" s="204">
        <f>(IF(Assessment!$D$124&gt;(Results_!BR34*-1),(Assessment!$D$124+Results_!BR34)/2,0))</f>
        <v>0</v>
      </c>
      <c r="BS35" s="204">
        <f>(IF(Assessment!$D$124&gt;(Results_!BS34*-1),(Assessment!$D$124+Results_!BS34)/2,0))</f>
        <v>0</v>
      </c>
      <c r="BT35" s="204">
        <f>(IF(Assessment!$D$124&gt;(Results_!BT34*-1),(Assessment!$D$124+Results_!BT34)/2,0))</f>
        <v>0</v>
      </c>
      <c r="BU35" s="204">
        <f>(IF(Assessment!$D$124&gt;(Results_!BU34*-1),(Assessment!$D$124+Results_!BU34)/2,0))</f>
        <v>0</v>
      </c>
      <c r="BV35" s="204">
        <f>(IF(Assessment!$D$124&gt;(Results_!BV34*-1),(Assessment!$D$124+Results_!BV34)/2,0))</f>
        <v>0</v>
      </c>
      <c r="BW35" s="204">
        <f>(IF(Assessment!$D$124&gt;(Results_!BW34*-1),(Assessment!$D$124+Results_!BW34)/2,0))</f>
        <v>0</v>
      </c>
      <c r="BX35" s="204">
        <f>(IF(Assessment!$D$124&gt;(Results_!BX34*-1),(Assessment!$D$124+Results_!BX34)/2,0))</f>
        <v>0</v>
      </c>
      <c r="BY35" s="204">
        <f>(IF(Assessment!$D$124&gt;(Results_!BY34*-1),(Assessment!$D$124+Results_!BY34)/2,0))</f>
        <v>0</v>
      </c>
      <c r="BZ35" s="204">
        <f>(IF(Assessment!$D$124&gt;(Results_!BZ34*-1),(Assessment!$D$124+Results_!BZ34)/2,0))</f>
        <v>0</v>
      </c>
      <c r="CA35" s="204">
        <f>(IF(Assessment!$D$124&gt;(Results_!CA34*-1),(Assessment!$D$124+Results_!CA34)/2,0))</f>
        <v>0</v>
      </c>
      <c r="CB35" s="204">
        <f>(IF(Assessment!$D$124&gt;(Results_!CB34*-1),(Assessment!$D$124+Results_!CB34)/2,0))</f>
        <v>0</v>
      </c>
      <c r="CC35" s="204">
        <f>(IF(Assessment!$D$124&gt;(Results_!CC34*-1),(Assessment!$D$124+Results_!CC34)/2,0))</f>
        <v>0</v>
      </c>
      <c r="CD35" s="204">
        <f>(IF(Assessment!$D$124&gt;(Results_!CD34*-1),(Assessment!$D$124+Results_!CD34)/2,0))</f>
        <v>0</v>
      </c>
      <c r="CE35" s="204">
        <f>(IF(Assessment!$D$124&gt;(Results_!CE34*-1),(Assessment!$D$124+Results_!CE34)/2,0))</f>
        <v>0</v>
      </c>
      <c r="CF35" s="204">
        <f>(IF(Assessment!$D$124&gt;(Results_!CF34*-1),(Assessment!$D$124+Results_!CF34)/2,0))</f>
        <v>0</v>
      </c>
      <c r="CG35" s="204">
        <f>(IF(Assessment!$D$124&gt;(Results_!CG34*-1),(Assessment!$D$124+Results_!CG34)/2,0))</f>
        <v>0</v>
      </c>
      <c r="CH35" s="204">
        <f>(IF(Assessment!$D$124&gt;(Results_!CH34*-1),(Assessment!$D$124+Results_!CH34)/2,0))</f>
        <v>0</v>
      </c>
      <c r="CI35" s="204">
        <f>(IF(Assessment!$D$124&gt;(Results_!CI34*-1),(Assessment!$D$124+Results_!CI34)/2,0))</f>
        <v>0</v>
      </c>
      <c r="CJ35" s="204">
        <f>(IF(Assessment!$D$124&gt;(Results_!CJ34*-1),(Assessment!$D$124+Results_!CJ34)/2,0))</f>
        <v>0</v>
      </c>
      <c r="CK35" s="204">
        <f>(IF(Assessment!$D$124&gt;(Results_!CK34*-1),(Assessment!$D$124+Results_!CK34)/2,0))</f>
        <v>0</v>
      </c>
      <c r="CL35" s="204">
        <f>(IF(Assessment!$D$124&gt;(Results_!CL34*-1),(Assessment!$D$124+Results_!CL34)/2,0))</f>
        <v>0</v>
      </c>
      <c r="CM35" s="204">
        <f>(IF(Assessment!$D$124&gt;(Results_!CM34*-1),(Assessment!$D$124+Results_!CM34)/2,0))</f>
        <v>0</v>
      </c>
      <c r="CN35" s="204">
        <f>(IF(Assessment!$D$124&gt;(Results_!CN34*-1),(Assessment!$D$124+Results_!CN34)/2,0))</f>
        <v>0</v>
      </c>
      <c r="CO35" s="204">
        <f>(IF(Assessment!$D$124&gt;(Results_!CO34*-1),(Assessment!$D$124+Results_!CO34)/2,0))</f>
        <v>0</v>
      </c>
      <c r="CP35" s="204">
        <f>(IF(Assessment!$D$124&gt;(Results_!CP34*-1),(Assessment!$D$124+Results_!CP34)/2,0))</f>
        <v>0</v>
      </c>
      <c r="CQ35" s="204">
        <f>(IF(Assessment!$D$124&gt;(Results_!CQ34*-1),(Assessment!$D$124+Results_!CQ34)/2,0))</f>
        <v>0</v>
      </c>
      <c r="CR35" s="204">
        <f>(IF(Assessment!$D$124&gt;(Results_!CR34*-1),(Assessment!$D$124+Results_!CR34)/2,0))</f>
        <v>0</v>
      </c>
      <c r="CS35" s="204">
        <f>(IF(Assessment!$D$124&gt;(Results_!CS34*-1),(Assessment!$D$124+Results_!CS34)/2,0))</f>
        <v>0</v>
      </c>
      <c r="CT35" s="204">
        <f>(IF(Assessment!$D$124&gt;(Results_!CT34*-1),(Assessment!$D$124+Results_!CT34)/2,0))</f>
        <v>0</v>
      </c>
      <c r="CU35" s="204">
        <f>(IF(Assessment!$D$124&gt;(Results_!CU34*-1),(Assessment!$D$124+Results_!CU34)/2,0))</f>
        <v>0</v>
      </c>
      <c r="CV35" s="204">
        <f>(IF(Assessment!$D$124&gt;(Results_!CV34*-1),(Assessment!$D$124+Results_!CV34)/2,0))</f>
        <v>0</v>
      </c>
      <c r="CW35" s="204">
        <f>(IF(Assessment!$D$124&gt;(Results_!CW34*-1),(Assessment!$D$124+Results_!CW34)/2,0))</f>
        <v>0</v>
      </c>
      <c r="CX35" s="204">
        <f>(IF(Assessment!$D$124&gt;(Results_!CX34*-1),(Assessment!$D$124+Results_!CX34)/2,0))</f>
        <v>0</v>
      </c>
      <c r="CY35" s="204">
        <f>(IF(Assessment!$D$124&gt;(Results_!CY34*-1),(Assessment!$D$124+Results_!CY34)/2,0))</f>
        <v>0</v>
      </c>
      <c r="CZ35" s="204">
        <f>(IF(Assessment!$D$124&gt;(Results_!CZ34*-1),(Assessment!$D$124+Results_!CZ34)/2,0))</f>
        <v>0</v>
      </c>
      <c r="DA35" s="204">
        <f>(IF(Assessment!$D$124&gt;(Results_!DA34*-1),(Assessment!$D$124+Results_!DA34)/2,0))</f>
        <v>0</v>
      </c>
    </row>
    <row r="36" spans="1:105" s="133" customFormat="1" ht="22.5" customHeight="1" x14ac:dyDescent="0.2">
      <c r="A36" s="320" t="s">
        <v>261</v>
      </c>
      <c r="B36" s="327" t="s">
        <v>281</v>
      </c>
      <c r="C36" s="304" t="str">
        <f>Assessment!C222</f>
        <v>--Loft top-up loft insulation (150 to 270mm), 50% client funded-----</v>
      </c>
      <c r="D36" s="130" t="s">
        <v>245</v>
      </c>
      <c r="E36" s="130"/>
      <c r="F36" s="206">
        <f>F30+F33</f>
        <v>-200.36400000000003</v>
      </c>
      <c r="G36" s="206">
        <f t="shared" ref="G36:O36" si="0">G30+G33</f>
        <v>-109.28945454545456</v>
      </c>
      <c r="H36" s="206">
        <f t="shared" si="0"/>
        <v>-79.264879120879129</v>
      </c>
      <c r="I36" s="206">
        <f t="shared" si="0"/>
        <v>-64.498694485842051</v>
      </c>
      <c r="J36" s="207">
        <f t="shared" si="0"/>
        <v>-55.831379058267046</v>
      </c>
      <c r="K36" s="206">
        <f t="shared" si="0"/>
        <v>-50.208838387419036</v>
      </c>
      <c r="L36" s="206">
        <f t="shared" si="0"/>
        <v>-46.321472982146673</v>
      </c>
      <c r="M36" s="206">
        <f t="shared" si="0"/>
        <v>-43.513955259579006</v>
      </c>
      <c r="N36" s="206">
        <f t="shared" si="0"/>
        <v>-41.421827715457226</v>
      </c>
      <c r="O36" s="207">
        <f t="shared" si="0"/>
        <v>-39.826144716730994</v>
      </c>
      <c r="P36" s="206">
        <f t="shared" ref="P36:AD36" si="1">P30+P33</f>
        <v>-38.587400509587368</v>
      </c>
      <c r="Q36" s="206">
        <f t="shared" si="1"/>
        <v>-37.612491189984468</v>
      </c>
      <c r="R36" s="206">
        <f t="shared" si="1"/>
        <v>-36.836921580897183</v>
      </c>
      <c r="S36" s="206">
        <f t="shared" si="1"/>
        <v>-36.214633430421657</v>
      </c>
      <c r="T36" s="206">
        <f t="shared" si="1"/>
        <v>-35.711897549269047</v>
      </c>
      <c r="U36" s="206">
        <f t="shared" si="1"/>
        <v>-35.303491466584347</v>
      </c>
      <c r="V36" s="206">
        <f t="shared" si="1"/>
        <v>-34.970221322250026</v>
      </c>
      <c r="W36" s="206">
        <f t="shared" si="1"/>
        <v>-34.697265255692223</v>
      </c>
      <c r="X36" s="206">
        <f t="shared" si="1"/>
        <v>-34.473035804184825</v>
      </c>
      <c r="Y36" s="206">
        <f t="shared" si="1"/>
        <v>-34.288379929817353</v>
      </c>
      <c r="Z36" s="206">
        <f t="shared" si="1"/>
        <v>-34.136004466763964</v>
      </c>
      <c r="AA36" s="206">
        <f t="shared" si="1"/>
        <v>-34.010055627697852</v>
      </c>
      <c r="AB36" s="206">
        <f t="shared" si="1"/>
        <v>-33.905806048791511</v>
      </c>
      <c r="AC36" s="206">
        <f t="shared" si="1"/>
        <v>-33.819418359968957</v>
      </c>
      <c r="AD36" s="207">
        <f t="shared" si="1"/>
        <v>-33.747764178133494</v>
      </c>
      <c r="AE36" s="206">
        <f t="shared" ref="AE36:CP36" si="2">AE30+AE33</f>
        <v>-33.688283891935583</v>
      </c>
      <c r="AF36" s="206">
        <f t="shared" si="2"/>
        <v>-33.638876914540674</v>
      </c>
      <c r="AG36" s="206">
        <f t="shared" si="2"/>
        <v>-33.597815000859974</v>
      </c>
      <c r="AH36" s="206">
        <f t="shared" si="2"/>
        <v>-33.563673238417863</v>
      </c>
      <c r="AI36" s="206">
        <f t="shared" si="2"/>
        <v>-33.535274730378816</v>
      </c>
      <c r="AJ36" s="206">
        <f t="shared" si="2"/>
        <v>-33.511645990925032</v>
      </c>
      <c r="AK36" s="206">
        <f t="shared" si="2"/>
        <v>-33.491980795237687</v>
      </c>
      <c r="AL36" s="206">
        <f t="shared" si="2"/>
        <v>-33.475610753899254</v>
      </c>
      <c r="AM36" s="206">
        <f t="shared" si="2"/>
        <v>-33.461981271963538</v>
      </c>
      <c r="AN36" s="206">
        <f t="shared" si="2"/>
        <v>-33.450631845415678</v>
      </c>
      <c r="AO36" s="206">
        <f t="shared" si="2"/>
        <v>-33.441179869367687</v>
      </c>
      <c r="AP36" s="206">
        <f t="shared" si="2"/>
        <v>-33.433307302084934</v>
      </c>
      <c r="AQ36" s="206">
        <f t="shared" si="2"/>
        <v>-33.426749660259986</v>
      </c>
      <c r="AR36" s="206">
        <f t="shared" si="2"/>
        <v>-33.421286923479947</v>
      </c>
      <c r="AS36" s="206">
        <f t="shared" si="2"/>
        <v>-33.416736006556953</v>
      </c>
      <c r="AT36" s="206">
        <f t="shared" si="2"/>
        <v>-33.412944522429314</v>
      </c>
      <c r="AU36" s="206">
        <f t="shared" si="2"/>
        <v>-33.409785609486683</v>
      </c>
      <c r="AV36" s="206">
        <f t="shared" si="2"/>
        <v>-33.407153638267324</v>
      </c>
      <c r="AW36" s="206">
        <f t="shared" si="2"/>
        <v>-33.404960645670513</v>
      </c>
      <c r="AX36" s="206">
        <f t="shared" si="2"/>
        <v>-33.403133371763161</v>
      </c>
      <c r="AY36" s="206">
        <f t="shared" si="2"/>
        <v>-33.401610796206221</v>
      </c>
      <c r="AZ36" s="206">
        <f t="shared" si="2"/>
        <v>-33.400342089268555</v>
      </c>
      <c r="BA36" s="206">
        <f t="shared" si="2"/>
        <v>-33.399284907108154</v>
      </c>
      <c r="BB36" s="206">
        <f t="shared" si="2"/>
        <v>-33.398403973095263</v>
      </c>
      <c r="BC36" s="206">
        <f t="shared" si="2"/>
        <v>-33.397669896915559</v>
      </c>
      <c r="BD36" s="206">
        <f t="shared" si="2"/>
        <v>-33.39705819141534</v>
      </c>
      <c r="BE36" s="206">
        <f t="shared" si="2"/>
        <v>-33.396548453948611</v>
      </c>
      <c r="BF36" s="206">
        <f t="shared" si="2"/>
        <v>-33.396123684612441</v>
      </c>
      <c r="BG36" s="206">
        <f t="shared" si="2"/>
        <v>-33.395769718419551</v>
      </c>
      <c r="BH36" s="206">
        <f t="shared" si="2"/>
        <v>-33.395474752323857</v>
      </c>
      <c r="BI36" s="206">
        <f t="shared" si="2"/>
        <v>-33.395228951224347</v>
      </c>
      <c r="BJ36" s="206">
        <f t="shared" si="2"/>
        <v>-33.395024119738757</v>
      </c>
      <c r="BK36" s="206">
        <f t="shared" si="2"/>
        <v>-33.394853428753507</v>
      </c>
      <c r="BL36" s="206">
        <f t="shared" si="2"/>
        <v>-33.394711187598695</v>
      </c>
      <c r="BM36" s="206">
        <f t="shared" si="2"/>
        <v>-33.394592654228632</v>
      </c>
      <c r="BN36" s="206">
        <f t="shared" si="2"/>
        <v>-33.394493877063027</v>
      </c>
      <c r="BO36" s="206">
        <f t="shared" si="2"/>
        <v>-33.394411563204727</v>
      </c>
      <c r="BP36" s="206">
        <f t="shared" si="2"/>
        <v>-33.394342968632792</v>
      </c>
      <c r="BQ36" s="206">
        <f t="shared" si="2"/>
        <v>-33.394285806704765</v>
      </c>
      <c r="BR36" s="206">
        <f t="shared" si="2"/>
        <v>-33.394238171914239</v>
      </c>
      <c r="BS36" s="206">
        <f t="shared" si="2"/>
        <v>-33.394198476359264</v>
      </c>
      <c r="BT36" s="206">
        <f t="shared" si="2"/>
        <v>-33.394165396802222</v>
      </c>
      <c r="BU36" s="206">
        <f t="shared" si="2"/>
        <v>-33.394137830554733</v>
      </c>
      <c r="BV36" s="206">
        <f t="shared" si="2"/>
        <v>-33.394114858716605</v>
      </c>
      <c r="BW36" s="206">
        <f t="shared" si="2"/>
        <v>-33.394095715542299</v>
      </c>
      <c r="BX36" s="206">
        <f t="shared" si="2"/>
        <v>-33.394079762913819</v>
      </c>
      <c r="BY36" s="206">
        <f t="shared" si="2"/>
        <v>-33.394066469068385</v>
      </c>
      <c r="BZ36" s="206">
        <f t="shared" si="2"/>
        <v>-33.394055390871948</v>
      </c>
      <c r="CA36" s="206">
        <f t="shared" si="2"/>
        <v>-33.394046159047193</v>
      </c>
      <c r="CB36" s="206">
        <f t="shared" si="2"/>
        <v>-33.394038465863801</v>
      </c>
      <c r="CC36" s="206">
        <f t="shared" si="2"/>
        <v>-33.394032054880348</v>
      </c>
      <c r="CD36" s="206">
        <f t="shared" si="2"/>
        <v>-33.39402671239602</v>
      </c>
      <c r="CE36" s="206">
        <f t="shared" si="2"/>
        <v>-33.394022260327048</v>
      </c>
      <c r="CF36" s="206">
        <f t="shared" si="2"/>
        <v>-33.394018550270481</v>
      </c>
      <c r="CG36" s="206">
        <f t="shared" si="2"/>
        <v>-33.394015458557298</v>
      </c>
      <c r="CH36" s="206">
        <f t="shared" si="2"/>
        <v>-33.394012882130092</v>
      </c>
      <c r="CI36" s="206">
        <f t="shared" si="2"/>
        <v>-33.394010735107713</v>
      </c>
      <c r="CJ36" s="206">
        <f t="shared" si="2"/>
        <v>-33.394008945922621</v>
      </c>
      <c r="CK36" s="206">
        <f t="shared" si="2"/>
        <v>-33.394007454935185</v>
      </c>
      <c r="CL36" s="206">
        <f t="shared" si="2"/>
        <v>-33.394006212445753</v>
      </c>
      <c r="CM36" s="206">
        <f t="shared" si="2"/>
        <v>-33.394005177037968</v>
      </c>
      <c r="CN36" s="206">
        <f t="shared" si="2"/>
        <v>-33.394004314198199</v>
      </c>
      <c r="CO36" s="206">
        <f t="shared" si="2"/>
        <v>-33.394003595165088</v>
      </c>
      <c r="CP36" s="206">
        <f t="shared" si="2"/>
        <v>-33.394002995970851</v>
      </c>
      <c r="CQ36" s="206">
        <f t="shared" ref="CQ36:DA36" si="3">CQ30+CQ33</f>
        <v>-33.394002496642337</v>
      </c>
      <c r="CR36" s="206">
        <f t="shared" si="3"/>
        <v>-33.394002080535259</v>
      </c>
      <c r="CS36" s="206">
        <f t="shared" si="3"/>
        <v>-33.394001733779362</v>
      </c>
      <c r="CT36" s="206">
        <f t="shared" si="3"/>
        <v>-33.394001444816119</v>
      </c>
      <c r="CU36" s="206">
        <f t="shared" si="3"/>
        <v>-33.394001204013428</v>
      </c>
      <c r="CV36" s="206">
        <f t="shared" si="3"/>
        <v>-33.39400100334452</v>
      </c>
      <c r="CW36" s="206">
        <f t="shared" si="3"/>
        <v>-33.394000836120426</v>
      </c>
      <c r="CX36" s="206">
        <f t="shared" si="3"/>
        <v>-33.394000696767023</v>
      </c>
      <c r="CY36" s="206">
        <f t="shared" si="3"/>
        <v>-33.39400058063918</v>
      </c>
      <c r="CZ36" s="206">
        <f t="shared" si="3"/>
        <v>-33.394000483865987</v>
      </c>
      <c r="DA36" s="206">
        <f t="shared" si="3"/>
        <v>-33.394000403221654</v>
      </c>
    </row>
    <row r="37" spans="1:105" s="133" customFormat="1" ht="22.5" customHeight="1" x14ac:dyDescent="0.2">
      <c r="A37" s="321"/>
      <c r="B37" s="328"/>
      <c r="C37" s="304"/>
      <c r="D37" s="130" t="s">
        <v>163</v>
      </c>
      <c r="E37" s="130"/>
      <c r="F37" s="206">
        <f>F31+F34</f>
        <v>-175.31849999999997</v>
      </c>
      <c r="G37" s="206">
        <f t="shared" ref="G37:O37" si="4">G31+G34</f>
        <v>-89.797280487804869</v>
      </c>
      <c r="H37" s="206">
        <f t="shared" si="4"/>
        <v>-61.312814036478983</v>
      </c>
      <c r="I37" s="206">
        <f t="shared" si="4"/>
        <v>-47.087515689800178</v>
      </c>
      <c r="J37" s="207">
        <f t="shared" si="4"/>
        <v>-38.565862043476926</v>
      </c>
      <c r="K37" s="206">
        <f t="shared" si="4"/>
        <v>-32.896006650358139</v>
      </c>
      <c r="L37" s="206">
        <f t="shared" si="4"/>
        <v>-28.855725085957125</v>
      </c>
      <c r="M37" s="206">
        <f t="shared" si="4"/>
        <v>-25.833901221413921</v>
      </c>
      <c r="N37" s="206">
        <f t="shared" si="4"/>
        <v>-23.491022653557291</v>
      </c>
      <c r="O37" s="207">
        <f t="shared" si="4"/>
        <v>-21.623378881982301</v>
      </c>
      <c r="P37" s="206">
        <f t="shared" ref="P37:AD37" si="5">P31+P34</f>
        <v>-20.101333212196845</v>
      </c>
      <c r="Q37" s="206">
        <f t="shared" si="5"/>
        <v>-18.838458711175548</v>
      </c>
      <c r="R37" s="206">
        <f t="shared" si="5"/>
        <v>-17.774919110055485</v>
      </c>
      <c r="S37" s="206">
        <f t="shared" si="5"/>
        <v>-16.867972180278741</v>
      </c>
      <c r="T37" s="206">
        <f t="shared" si="5"/>
        <v>-16.086271762115533</v>
      </c>
      <c r="U37" s="206">
        <f t="shared" si="5"/>
        <v>-15.406306535027509</v>
      </c>
      <c r="V37" s="206">
        <f t="shared" si="5"/>
        <v>-14.810095694872841</v>
      </c>
      <c r="W37" s="206">
        <f t="shared" si="5"/>
        <v>-14.283652740726325</v>
      </c>
      <c r="X37" s="206">
        <f t="shared" si="5"/>
        <v>-13.81593438344184</v>
      </c>
      <c r="Y37" s="206">
        <f t="shared" si="5"/>
        <v>-13.39810478322973</v>
      </c>
      <c r="Z37" s="206">
        <f t="shared" si="5"/>
        <v>-13.023010006462409</v>
      </c>
      <c r="AA37" s="206">
        <f t="shared" si="5"/>
        <v>-12.684795813659683</v>
      </c>
      <c r="AB37" s="206">
        <f t="shared" si="5"/>
        <v>-12.378625156011601</v>
      </c>
      <c r="AC37" s="206">
        <f t="shared" si="5"/>
        <v>-12.10046629867615</v>
      </c>
      <c r="AD37" s="207">
        <f t="shared" si="5"/>
        <v>-11.84693179525237</v>
      </c>
      <c r="AE37" s="206">
        <f t="shared" ref="AE37:CP37" si="6">AE31+AE34</f>
        <v>-11.615154622628957</v>
      </c>
      <c r="AF37" s="206">
        <f t="shared" si="6"/>
        <v>-11.40269184194185</v>
      </c>
      <c r="AG37" s="206">
        <f t="shared" si="6"/>
        <v>-11.20744890402232</v>
      </c>
      <c r="AH37" s="206">
        <f t="shared" si="6"/>
        <v>-11.027619616095427</v>
      </c>
      <c r="AI37" s="206">
        <f t="shared" si="6"/>
        <v>-10.861638115353781</v>
      </c>
      <c r="AJ37" s="206">
        <f t="shared" si="6"/>
        <v>-10.708140138097516</v>
      </c>
      <c r="AK37" s="206">
        <f t="shared" si="6"/>
        <v>-10.565931550960183</v>
      </c>
      <c r="AL37" s="206">
        <f t="shared" si="6"/>
        <v>-10.43396260370705</v>
      </c>
      <c r="AM37" s="206">
        <f t="shared" si="6"/>
        <v>-10.311306725567976</v>
      </c>
      <c r="AN37" s="206">
        <f t="shared" si="6"/>
        <v>-10.197142956334993</v>
      </c>
      <c r="AO37" s="206">
        <f t="shared" si="6"/>
        <v>-10.090741305405761</v>
      </c>
      <c r="AP37" s="206">
        <f t="shared" si="6"/>
        <v>-9.9914504847821295</v>
      </c>
      <c r="AQ37" s="206">
        <f t="shared" si="6"/>
        <v>-9.8986875786651236</v>
      </c>
      <c r="AR37" s="206">
        <f t="shared" si="6"/>
        <v>-9.8119293020046001</v>
      </c>
      <c r="AS37" s="206">
        <f t="shared" si="6"/>
        <v>-9.7307045698928647</v>
      </c>
      <c r="AT37" s="206">
        <f t="shared" si="6"/>
        <v>-9.6545881539593719</v>
      </c>
      <c r="AU37" s="206">
        <f t="shared" si="6"/>
        <v>-9.5831952445630222</v>
      </c>
      <c r="AV37" s="206">
        <f t="shared" si="6"/>
        <v>-9.5161767712933063</v>
      </c>
      <c r="AW37" s="206">
        <f t="shared" si="6"/>
        <v>-9.4532153611101162</v>
      </c>
      <c r="AX37" s="206">
        <f t="shared" si="6"/>
        <v>-9.3940218349070879</v>
      </c>
      <c r="AY37" s="206">
        <f t="shared" si="6"/>
        <v>-9.3383321605403786</v>
      </c>
      <c r="AZ37" s="206">
        <f t="shared" si="6"/>
        <v>-9.2859047943175792</v>
      </c>
      <c r="BA37" s="206">
        <f t="shared" si="6"/>
        <v>-9.2365183542778677</v>
      </c>
      <c r="BB37" s="206">
        <f t="shared" si="6"/>
        <v>-9.1899695778487693</v>
      </c>
      <c r="BC37" s="206">
        <f t="shared" si="6"/>
        <v>-9.1460715240534185</v>
      </c>
      <c r="BD37" s="206">
        <f t="shared" si="6"/>
        <v>-9.10465198669141</v>
      </c>
      <c r="BE37" s="206">
        <f t="shared" si="6"/>
        <v>-9.0655520900839708</v>
      </c>
      <c r="BF37" s="206">
        <f t="shared" si="6"/>
        <v>-9.0286250432642827</v>
      </c>
      <c r="BG37" s="206">
        <f t="shared" si="6"/>
        <v>-8.9937350320686988</v>
      </c>
      <c r="BH37" s="206">
        <f t="shared" si="6"/>
        <v>-8.9607562315745142</v>
      </c>
      <c r="BI37" s="206">
        <f t="shared" si="6"/>
        <v>-8.9295719238393723</v>
      </c>
      <c r="BJ37" s="206">
        <f t="shared" si="6"/>
        <v>-8.9000737080103196</v>
      </c>
      <c r="BK37" s="206">
        <f t="shared" si="6"/>
        <v>-8.8721607916557002</v>
      </c>
      <c r="BL37" s="206">
        <f t="shared" si="6"/>
        <v>-8.8457393536857705</v>
      </c>
      <c r="BM37" s="206">
        <f t="shared" si="6"/>
        <v>-8.8207219705136577</v>
      </c>
      <c r="BN37" s="206">
        <f t="shared" si="6"/>
        <v>-8.7970270982042553</v>
      </c>
      <c r="BO37" s="206">
        <f t="shared" si="6"/>
        <v>-8.7745786042954563</v>
      </c>
      <c r="BP37" s="206">
        <f t="shared" si="6"/>
        <v>-8.7533053437790294</v>
      </c>
      <c r="BQ37" s="206">
        <f t="shared" si="6"/>
        <v>-8.7331407744183558</v>
      </c>
      <c r="BR37" s="206">
        <f t="shared" si="6"/>
        <v>-8.7140226071746092</v>
      </c>
      <c r="BS37" s="206">
        <f t="shared" si="6"/>
        <v>-8.695892488026125</v>
      </c>
      <c r="BT37" s="206">
        <f t="shared" si="6"/>
        <v>-8.6786957079099789</v>
      </c>
      <c r="BU37" s="206">
        <f t="shared" si="6"/>
        <v>-8.6623809379001084</v>
      </c>
      <c r="BV37" s="206">
        <f t="shared" si="6"/>
        <v>-8.6468999870713557</v>
      </c>
      <c r="BW37" s="206">
        <f t="shared" si="6"/>
        <v>-8.6322075807907588</v>
      </c>
      <c r="BX37" s="206">
        <f t="shared" si="6"/>
        <v>-8.6182611574321388</v>
      </c>
      <c r="BY37" s="206">
        <f t="shared" si="6"/>
        <v>-8.6050206817331567</v>
      </c>
      <c r="BZ37" s="206">
        <f t="shared" si="6"/>
        <v>-8.592448473209215</v>
      </c>
      <c r="CA37" s="206">
        <f t="shared" si="6"/>
        <v>-8.5805090482103221</v>
      </c>
      <c r="CB37" s="206">
        <f t="shared" si="6"/>
        <v>-8.5691689743579094</v>
      </c>
      <c r="CC37" s="206">
        <f t="shared" si="6"/>
        <v>-8.5583967362316837</v>
      </c>
      <c r="CD37" s="206">
        <f t="shared" si="6"/>
        <v>-8.5481626112939946</v>
      </c>
      <c r="CE37" s="206">
        <f t="shared" si="6"/>
        <v>-8.5384385551430864</v>
      </c>
      <c r="CF37" s="206">
        <f t="shared" si="6"/>
        <v>-8.5291980952786304</v>
      </c>
      <c r="CG37" s="206">
        <f t="shared" si="6"/>
        <v>-8.5204162326445108</v>
      </c>
      <c r="CH37" s="206">
        <f t="shared" si="6"/>
        <v>-8.5120693502863443</v>
      </c>
      <c r="CI37" s="206">
        <f t="shared" si="6"/>
        <v>-8.5041351285258333</v>
      </c>
      <c r="CJ37" s="206">
        <f t="shared" si="6"/>
        <v>-8.4965924661114567</v>
      </c>
      <c r="CK37" s="206">
        <f t="shared" si="6"/>
        <v>-8.4894214068564402</v>
      </c>
      <c r="CL37" s="206">
        <f t="shared" si="6"/>
        <v>-8.4826030713207423</v>
      </c>
      <c r="CM37" s="206">
        <f t="shared" si="6"/>
        <v>-8.4761195931349196</v>
      </c>
      <c r="CN37" s="206">
        <f t="shared" si="6"/>
        <v>-8.4699540596004805</v>
      </c>
      <c r="CO37" s="206">
        <f t="shared" si="6"/>
        <v>-8.4640904562344037</v>
      </c>
      <c r="CP37" s="206">
        <f t="shared" si="6"/>
        <v>-8.4585136149551445</v>
      </c>
      <c r="CQ37" s="206">
        <f t="shared" ref="CQ37:DA37" si="7">CQ31+CQ34</f>
        <v>-8.4532091656341475</v>
      </c>
      <c r="CR37" s="206">
        <f t="shared" si="7"/>
        <v>-8.4481634907609386</v>
      </c>
      <c r="CS37" s="206">
        <f t="shared" si="7"/>
        <v>-8.4433636829915866</v>
      </c>
      <c r="CT37" s="206">
        <f t="shared" si="7"/>
        <v>-8.4387975053698323</v>
      </c>
      <c r="CU37" s="206">
        <f t="shared" si="7"/>
        <v>-8.434453354027978</v>
      </c>
      <c r="CV37" s="206">
        <f t="shared" si="7"/>
        <v>-8.4303202231905985</v>
      </c>
      <c r="CW37" s="206">
        <f t="shared" si="7"/>
        <v>-8.4263876723186737</v>
      </c>
      <c r="CX37" s="206">
        <f t="shared" si="7"/>
        <v>-8.4226457952449127</v>
      </c>
      <c r="CY37" s="206">
        <f t="shared" si="7"/>
        <v>-8.4190851911630062</v>
      </c>
      <c r="CZ37" s="206">
        <f t="shared" si="7"/>
        <v>-8.4156969373444284</v>
      </c>
      <c r="DA37" s="206">
        <f t="shared" si="7"/>
        <v>-8.4124725634662649</v>
      </c>
    </row>
    <row r="38" spans="1:105" ht="22.5" hidden="1" customHeight="1" x14ac:dyDescent="0.2">
      <c r="A38" s="156"/>
      <c r="B38" s="151"/>
      <c r="C38" s="130" t="str">
        <f>Assessment!C222</f>
        <v>--Loft top-up loft insulation (150 to 270mm), 50% client funded-----</v>
      </c>
      <c r="D38" s="130" t="s">
        <v>246</v>
      </c>
      <c r="E38" s="130"/>
      <c r="F38" s="131">
        <f>F32+F35</f>
        <v>0</v>
      </c>
      <c r="G38" s="131">
        <f t="shared" ref="G38:O38" si="8">G32+G35</f>
        <v>0</v>
      </c>
      <c r="H38" s="131">
        <f t="shared" si="8"/>
        <v>0</v>
      </c>
      <c r="I38" s="131">
        <f t="shared" si="8"/>
        <v>0</v>
      </c>
      <c r="J38" s="188">
        <f t="shared" si="8"/>
        <v>0</v>
      </c>
      <c r="K38" s="131">
        <f t="shared" si="8"/>
        <v>0</v>
      </c>
      <c r="L38" s="131">
        <f t="shared" si="8"/>
        <v>0</v>
      </c>
      <c r="M38" s="131">
        <f t="shared" si="8"/>
        <v>0</v>
      </c>
      <c r="N38" s="131">
        <f t="shared" si="8"/>
        <v>0</v>
      </c>
      <c r="O38" s="188">
        <f t="shared" si="8"/>
        <v>0</v>
      </c>
      <c r="P38" s="131">
        <f t="shared" ref="P38:AD38" si="9">P32+P35</f>
        <v>0</v>
      </c>
      <c r="Q38" s="131">
        <f t="shared" si="9"/>
        <v>0</v>
      </c>
      <c r="R38" s="131">
        <f t="shared" si="9"/>
        <v>0</v>
      </c>
      <c r="S38" s="131">
        <f t="shared" si="9"/>
        <v>0</v>
      </c>
      <c r="T38" s="131">
        <f t="shared" si="9"/>
        <v>0</v>
      </c>
      <c r="U38" s="131">
        <f t="shared" si="9"/>
        <v>0</v>
      </c>
      <c r="V38" s="131">
        <f t="shared" si="9"/>
        <v>0</v>
      </c>
      <c r="W38" s="131">
        <f t="shared" si="9"/>
        <v>9.7714931917892045E-2</v>
      </c>
      <c r="X38" s="131">
        <f t="shared" si="9"/>
        <v>0.33157411056013419</v>
      </c>
      <c r="Y38" s="131">
        <f t="shared" si="9"/>
        <v>0.54048891066618943</v>
      </c>
      <c r="Z38" s="131">
        <f t="shared" si="9"/>
        <v>0.72803629904985012</v>
      </c>
      <c r="AA38" s="131">
        <f t="shared" si="9"/>
        <v>0.89714339545121291</v>
      </c>
      <c r="AB38" s="131">
        <f t="shared" si="9"/>
        <v>1.0502287242752537</v>
      </c>
      <c r="AC38" s="131">
        <f t="shared" si="9"/>
        <v>1.1893081529429796</v>
      </c>
      <c r="AD38" s="188">
        <f t="shared" si="9"/>
        <v>1.3160754046548693</v>
      </c>
    </row>
    <row r="39" spans="1:105" x14ac:dyDescent="0.2">
      <c r="P39" s="149"/>
      <c r="Q39" s="149"/>
      <c r="R39" s="149"/>
      <c r="S39" s="149"/>
      <c r="T39" s="149"/>
      <c r="U39" s="149"/>
      <c r="V39" s="149"/>
      <c r="W39" s="149"/>
      <c r="X39" s="149"/>
      <c r="Y39" s="149"/>
      <c r="Z39" s="149"/>
      <c r="AA39" s="149"/>
      <c r="AB39" s="149"/>
      <c r="AC39" s="149"/>
      <c r="AD39" s="196"/>
    </row>
    <row r="40" spans="1:105" s="158" customFormat="1" ht="22.5" x14ac:dyDescent="0.2">
      <c r="B40" s="167" t="s">
        <v>381</v>
      </c>
      <c r="C40" s="159"/>
      <c r="D40" s="159" t="s">
        <v>245</v>
      </c>
      <c r="E40" s="160"/>
      <c r="F40" s="161">
        <f>Assessment!$D21+AVERAGE(Assessment!$D$18:$D$19)</f>
        <v>0.2</v>
      </c>
      <c r="G40" s="161">
        <f>Assessment!$D21+AVERAGE(Assessment!$D$18:$D$19)</f>
        <v>0.2</v>
      </c>
      <c r="H40" s="161">
        <f>Assessment!$D21+AVERAGE(Assessment!$D$18:$D$19)</f>
        <v>0.2</v>
      </c>
      <c r="I40" s="161">
        <f>Assessment!$D21+AVERAGE(Assessment!$D$18:$D$19)</f>
        <v>0.2</v>
      </c>
      <c r="J40" s="190">
        <f>Assessment!$D21+AVERAGE(Assessment!$D$18:$D$19)</f>
        <v>0.2</v>
      </c>
      <c r="K40" s="161">
        <f>Assessment!$D21+AVERAGE(Assessment!$D$18:$D$19)</f>
        <v>0.2</v>
      </c>
      <c r="L40" s="161">
        <f>Assessment!$D21+AVERAGE(Assessment!$D$18:$D$19)</f>
        <v>0.2</v>
      </c>
      <c r="M40" s="161">
        <f>Assessment!$D21+AVERAGE(Assessment!$D$18:$D$19)</f>
        <v>0.2</v>
      </c>
      <c r="N40" s="161">
        <f>Assessment!$D21+AVERAGE(Assessment!$D$18:$D$19)</f>
        <v>0.2</v>
      </c>
      <c r="O40" s="190">
        <f>Assessment!$D21+AVERAGE(Assessment!$D$18:$D$19)</f>
        <v>0.2</v>
      </c>
      <c r="P40" s="161">
        <f>Assessment!$D21+AVERAGE(Assessment!$D$18:$D$19)</f>
        <v>0.2</v>
      </c>
      <c r="Q40" s="161">
        <f>Assessment!$D21+AVERAGE(Assessment!$D$18:$D$19)</f>
        <v>0.2</v>
      </c>
      <c r="R40" s="161">
        <f>Assessment!$D21+AVERAGE(Assessment!$D$18:$D$19)</f>
        <v>0.2</v>
      </c>
      <c r="S40" s="161">
        <f>Assessment!$D21+AVERAGE(Assessment!$D$18:$D$19)</f>
        <v>0.2</v>
      </c>
      <c r="T40" s="161">
        <f>Assessment!$D21+AVERAGE(Assessment!$D$18:$D$19)</f>
        <v>0.2</v>
      </c>
      <c r="U40" s="161">
        <f>Assessment!$D21+AVERAGE(Assessment!$D$18:$D$19)</f>
        <v>0.2</v>
      </c>
      <c r="V40" s="161">
        <f>Assessment!$D21+AVERAGE(Assessment!$D$18:$D$19)</f>
        <v>0.2</v>
      </c>
      <c r="W40" s="161">
        <f>Assessment!$D21+AVERAGE(Assessment!$D$18:$D$19)</f>
        <v>0.2</v>
      </c>
      <c r="X40" s="161">
        <f>Assessment!$D21+AVERAGE(Assessment!$D$18:$D$19)</f>
        <v>0.2</v>
      </c>
      <c r="Y40" s="161">
        <f>Assessment!$D21+AVERAGE(Assessment!$D$18:$D$19)</f>
        <v>0.2</v>
      </c>
      <c r="Z40" s="161">
        <f>Assessment!$D21+AVERAGE(Assessment!$D$18:$D$19)</f>
        <v>0.2</v>
      </c>
      <c r="AA40" s="161">
        <f>Assessment!$D21+AVERAGE(Assessment!$D$18:$D$19)</f>
        <v>0.2</v>
      </c>
      <c r="AB40" s="161">
        <f>Assessment!$D21+AVERAGE(Assessment!$D$18:$D$19)</f>
        <v>0.2</v>
      </c>
      <c r="AC40" s="161">
        <f>Assessment!$D21+AVERAGE(Assessment!$D$18:$D$19)</f>
        <v>0.2</v>
      </c>
      <c r="AD40" s="190">
        <f>Assessment!$D21+AVERAGE(Assessment!$D$18:$D$19)</f>
        <v>0.2</v>
      </c>
    </row>
    <row r="41" spans="1:105" s="158" customFormat="1" ht="22.5" x14ac:dyDescent="0.2">
      <c r="B41" s="167" t="s">
        <v>381</v>
      </c>
      <c r="C41" s="159"/>
      <c r="D41" s="159" t="s">
        <v>284</v>
      </c>
      <c r="E41" s="160"/>
      <c r="F41" s="161">
        <f>Assessment!$D22+AVERAGE(Assessment!$D$18:$D$19)</f>
        <v>0.05</v>
      </c>
      <c r="G41" s="161">
        <f>Assessment!$D22+AVERAGE(Assessment!$D$18:$D$19)</f>
        <v>0.05</v>
      </c>
      <c r="H41" s="161">
        <f>Assessment!$D22+AVERAGE(Assessment!$D$18:$D$19)</f>
        <v>0.05</v>
      </c>
      <c r="I41" s="161">
        <f>Assessment!$D22+AVERAGE(Assessment!$D$18:$D$19)</f>
        <v>0.05</v>
      </c>
      <c r="J41" s="190">
        <f>Assessment!$D22+AVERAGE(Assessment!$D$18:$D$19)</f>
        <v>0.05</v>
      </c>
      <c r="K41" s="161">
        <f>Assessment!$D22+AVERAGE(Assessment!$D$18:$D$19)</f>
        <v>0.05</v>
      </c>
      <c r="L41" s="161">
        <f>Assessment!$D22+AVERAGE(Assessment!$D$18:$D$19)</f>
        <v>0.05</v>
      </c>
      <c r="M41" s="161">
        <f>Assessment!$D22+AVERAGE(Assessment!$D$18:$D$19)</f>
        <v>0.05</v>
      </c>
      <c r="N41" s="161">
        <f>Assessment!$D22+AVERAGE(Assessment!$D$18:$D$19)</f>
        <v>0.05</v>
      </c>
      <c r="O41" s="190">
        <f>Assessment!$D22+AVERAGE(Assessment!$D$18:$D$19)</f>
        <v>0.05</v>
      </c>
      <c r="P41" s="161">
        <f>Assessment!$D22+AVERAGE(Assessment!$D$18:$D$19)</f>
        <v>0.05</v>
      </c>
      <c r="Q41" s="161">
        <f>Assessment!$D22+AVERAGE(Assessment!$D$18:$D$19)</f>
        <v>0.05</v>
      </c>
      <c r="R41" s="161">
        <f>Assessment!$D22+AVERAGE(Assessment!$D$18:$D$19)</f>
        <v>0.05</v>
      </c>
      <c r="S41" s="161">
        <f>Assessment!$D22+AVERAGE(Assessment!$D$18:$D$19)</f>
        <v>0.05</v>
      </c>
      <c r="T41" s="161">
        <f>Assessment!$D22+AVERAGE(Assessment!$D$18:$D$19)</f>
        <v>0.05</v>
      </c>
      <c r="U41" s="161">
        <f>Assessment!$D22+AVERAGE(Assessment!$D$18:$D$19)</f>
        <v>0.05</v>
      </c>
      <c r="V41" s="161">
        <f>Assessment!$D22+AVERAGE(Assessment!$D$18:$D$19)</f>
        <v>0.05</v>
      </c>
      <c r="W41" s="161">
        <f>Assessment!$D22+AVERAGE(Assessment!$D$18:$D$19)</f>
        <v>0.05</v>
      </c>
      <c r="X41" s="161">
        <f>Assessment!$D22+AVERAGE(Assessment!$D$18:$D$19)</f>
        <v>0.05</v>
      </c>
      <c r="Y41" s="161">
        <f>Assessment!$D22+AVERAGE(Assessment!$D$18:$D$19)</f>
        <v>0.05</v>
      </c>
      <c r="Z41" s="161">
        <f>Assessment!$D22+AVERAGE(Assessment!$D$18:$D$19)</f>
        <v>0.05</v>
      </c>
      <c r="AA41" s="161">
        <f>Assessment!$D22+AVERAGE(Assessment!$D$18:$D$19)</f>
        <v>0.05</v>
      </c>
      <c r="AB41" s="161">
        <f>Assessment!$D22+AVERAGE(Assessment!$D$18:$D$19)</f>
        <v>0.05</v>
      </c>
      <c r="AC41" s="161">
        <f>Assessment!$D22+AVERAGE(Assessment!$D$18:$D$19)</f>
        <v>0.05</v>
      </c>
      <c r="AD41" s="190">
        <f>Assessment!$D22+AVERAGE(Assessment!$D$18:$D$19)</f>
        <v>0.05</v>
      </c>
    </row>
    <row r="42" spans="1:105" s="158" customFormat="1" ht="22.5" x14ac:dyDescent="0.2">
      <c r="B42" s="167" t="s">
        <v>288</v>
      </c>
      <c r="C42" s="159"/>
      <c r="D42" s="159"/>
      <c r="E42" s="160"/>
      <c r="F42" s="162">
        <v>3</v>
      </c>
      <c r="G42" s="162">
        <v>3</v>
      </c>
      <c r="H42" s="162">
        <v>3</v>
      </c>
      <c r="I42" s="162">
        <v>3</v>
      </c>
      <c r="J42" s="191">
        <v>3</v>
      </c>
      <c r="K42" s="162">
        <v>3</v>
      </c>
      <c r="L42" s="162">
        <v>3</v>
      </c>
      <c r="M42" s="162">
        <v>3</v>
      </c>
      <c r="N42" s="162">
        <v>3</v>
      </c>
      <c r="O42" s="191">
        <v>3</v>
      </c>
      <c r="P42" s="162">
        <v>3</v>
      </c>
      <c r="Q42" s="162">
        <v>3</v>
      </c>
      <c r="R42" s="162">
        <v>3</v>
      </c>
      <c r="S42" s="162">
        <v>3</v>
      </c>
      <c r="T42" s="162">
        <v>3</v>
      </c>
      <c r="U42" s="162">
        <v>3</v>
      </c>
      <c r="V42" s="162">
        <v>3</v>
      </c>
      <c r="W42" s="162">
        <v>3</v>
      </c>
      <c r="X42" s="162">
        <v>3</v>
      </c>
      <c r="Y42" s="162">
        <v>3</v>
      </c>
      <c r="Z42" s="162">
        <v>3</v>
      </c>
      <c r="AA42" s="162">
        <v>3</v>
      </c>
      <c r="AB42" s="162">
        <v>3</v>
      </c>
      <c r="AC42" s="162">
        <v>3</v>
      </c>
      <c r="AD42" s="191">
        <v>3</v>
      </c>
    </row>
    <row r="43" spans="1:105" s="158" customFormat="1" ht="22.5" x14ac:dyDescent="0.2">
      <c r="B43" s="167" t="s">
        <v>287</v>
      </c>
      <c r="C43" s="159"/>
      <c r="D43" s="159"/>
      <c r="E43" s="160"/>
      <c r="F43" s="162">
        <v>5</v>
      </c>
      <c r="G43" s="162">
        <v>5</v>
      </c>
      <c r="H43" s="162">
        <v>5</v>
      </c>
      <c r="I43" s="162">
        <v>5</v>
      </c>
      <c r="J43" s="191">
        <v>5</v>
      </c>
      <c r="K43" s="162">
        <v>5</v>
      </c>
      <c r="L43" s="162">
        <v>5</v>
      </c>
      <c r="M43" s="162">
        <v>5</v>
      </c>
      <c r="N43" s="162">
        <v>5</v>
      </c>
      <c r="O43" s="191">
        <v>5</v>
      </c>
      <c r="P43" s="162">
        <v>5</v>
      </c>
      <c r="Q43" s="162">
        <v>5</v>
      </c>
      <c r="R43" s="162">
        <v>5</v>
      </c>
      <c r="S43" s="162">
        <v>5</v>
      </c>
      <c r="T43" s="162">
        <v>5</v>
      </c>
      <c r="U43" s="162">
        <v>5</v>
      </c>
      <c r="V43" s="162">
        <v>5</v>
      </c>
      <c r="W43" s="162">
        <v>5</v>
      </c>
      <c r="X43" s="162">
        <v>5</v>
      </c>
      <c r="Y43" s="162">
        <v>5</v>
      </c>
      <c r="Z43" s="162">
        <v>5</v>
      </c>
      <c r="AA43" s="162">
        <v>5</v>
      </c>
      <c r="AB43" s="162">
        <v>5</v>
      </c>
      <c r="AC43" s="162">
        <v>5</v>
      </c>
      <c r="AD43" s="191">
        <v>5</v>
      </c>
    </row>
  </sheetData>
  <mergeCells count="46">
    <mergeCell ref="C25:C26"/>
    <mergeCell ref="A27:A28"/>
    <mergeCell ref="B27:B28"/>
    <mergeCell ref="C27:C28"/>
    <mergeCell ref="A36:A37"/>
    <mergeCell ref="A33:A35"/>
    <mergeCell ref="C33:C34"/>
    <mergeCell ref="B33:B34"/>
    <mergeCell ref="C36:C37"/>
    <mergeCell ref="B36:B37"/>
    <mergeCell ref="A25:A26"/>
    <mergeCell ref="B25:B26"/>
    <mergeCell ref="A20:A21"/>
    <mergeCell ref="B20:B21"/>
    <mergeCell ref="C20:C21"/>
    <mergeCell ref="A22:A23"/>
    <mergeCell ref="B22:B23"/>
    <mergeCell ref="C22:C23"/>
    <mergeCell ref="A16:A17"/>
    <mergeCell ref="B16:B17"/>
    <mergeCell ref="C16:C17"/>
    <mergeCell ref="A18:A19"/>
    <mergeCell ref="B18:B19"/>
    <mergeCell ref="C18:C19"/>
    <mergeCell ref="A8:A9"/>
    <mergeCell ref="C8:C9"/>
    <mergeCell ref="B8:B9"/>
    <mergeCell ref="C10:C11"/>
    <mergeCell ref="B10:B11"/>
    <mergeCell ref="A10:A11"/>
    <mergeCell ref="F1:P1"/>
    <mergeCell ref="B30:B31"/>
    <mergeCell ref="C30:C31"/>
    <mergeCell ref="A12:A13"/>
    <mergeCell ref="C12:C13"/>
    <mergeCell ref="B12:B13"/>
    <mergeCell ref="C3:C4"/>
    <mergeCell ref="B3:B4"/>
    <mergeCell ref="A3:A4"/>
    <mergeCell ref="B5:B6"/>
    <mergeCell ref="C5:C6"/>
    <mergeCell ref="A5:A6"/>
    <mergeCell ref="A30:A32"/>
    <mergeCell ref="A14:A15"/>
    <mergeCell ref="C14:C15"/>
    <mergeCell ref="B14:B15"/>
  </mergeCells>
  <pageMargins left="0.7" right="0.7" top="0.75" bottom="0.75" header="0.3" footer="0.3"/>
  <pageSetup paperSize="9" orientation="portrait" horizontalDpi="4294967295"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9"/>
  <sheetViews>
    <sheetView zoomScale="90" zoomScaleNormal="90" workbookViewId="0">
      <pane xSplit="2" ySplit="1" topLeftCell="C2" activePane="bottomRight" state="frozen"/>
      <selection pane="topRight" activeCell="C1" sqref="C1"/>
      <selection pane="bottomLeft" activeCell="A2" sqref="A2"/>
      <selection pane="bottomRight" activeCell="D4" sqref="D4"/>
    </sheetView>
  </sheetViews>
  <sheetFormatPr defaultRowHeight="12.75" x14ac:dyDescent="0.2"/>
  <cols>
    <col min="1" max="1" width="4.85546875" style="171" customWidth="1"/>
    <col min="2" max="2" width="35.7109375" style="170" customWidth="1"/>
    <col min="3" max="3" width="39.28515625" style="170" customWidth="1"/>
    <col min="4" max="4" width="7.140625" style="171" bestFit="1" customWidth="1"/>
    <col min="5" max="5" width="6.42578125" style="171" bestFit="1" customWidth="1"/>
    <col min="6" max="6" width="31.85546875" style="170" customWidth="1"/>
    <col min="7" max="16384" width="9.140625" style="171"/>
  </cols>
  <sheetData>
    <row r="1" spans="1:9" s="170" customFormat="1" ht="38.25" x14ac:dyDescent="0.2">
      <c r="A1" s="173" t="s">
        <v>354</v>
      </c>
      <c r="B1" s="173" t="s">
        <v>351</v>
      </c>
      <c r="C1" s="173" t="s">
        <v>356</v>
      </c>
      <c r="D1" s="173" t="s">
        <v>72</v>
      </c>
      <c r="E1" s="173" t="s">
        <v>4</v>
      </c>
      <c r="F1" s="173" t="s">
        <v>357</v>
      </c>
      <c r="G1" s="170" t="s">
        <v>357</v>
      </c>
    </row>
    <row r="2" spans="1:9" ht="51" x14ac:dyDescent="0.2">
      <c r="A2" s="172" t="s">
        <v>358</v>
      </c>
      <c r="B2" s="209" t="s">
        <v>463</v>
      </c>
      <c r="C2" s="209" t="s">
        <v>529</v>
      </c>
      <c r="D2" s="247">
        <f>Variables!$C4</f>
        <v>29062.0960087229</v>
      </c>
      <c r="E2" s="209" t="str">
        <f>Variables!C$3</f>
        <v>kWh</v>
      </c>
      <c r="F2" s="209" t="str">
        <f>Variables!D4</f>
        <v>CDEM</v>
      </c>
    </row>
    <row r="3" spans="1:9" ht="25.5" x14ac:dyDescent="0.2">
      <c r="A3" s="172" t="s">
        <v>358</v>
      </c>
      <c r="B3" s="209" t="s">
        <v>446</v>
      </c>
      <c r="C3" s="209" t="s">
        <v>531</v>
      </c>
      <c r="D3" s="247">
        <f>Variables!C5</f>
        <v>21796.572006542174</v>
      </c>
      <c r="E3" s="209" t="str">
        <f>Variables!C$3</f>
        <v>kWh</v>
      </c>
      <c r="F3" s="209" t="str">
        <f>Variables!D5</f>
        <v>Sensitivity analysis</v>
      </c>
    </row>
    <row r="4" spans="1:9" ht="25.5" x14ac:dyDescent="0.2">
      <c r="A4" s="172" t="s">
        <v>358</v>
      </c>
      <c r="B4" s="209" t="s">
        <v>447</v>
      </c>
      <c r="C4" s="209" t="s">
        <v>530</v>
      </c>
      <c r="D4" s="247">
        <f>Variables!C8</f>
        <v>36327.620010903622</v>
      </c>
      <c r="E4" s="209" t="str">
        <f>Variables!C$3</f>
        <v>kWh</v>
      </c>
      <c r="F4" s="209" t="str">
        <f>Variables!D8</f>
        <v>Sensitivity analysis</v>
      </c>
    </row>
    <row r="5" spans="1:9" x14ac:dyDescent="0.2">
      <c r="A5" s="172" t="s">
        <v>358</v>
      </c>
      <c r="B5" s="172" t="s">
        <v>364</v>
      </c>
      <c r="C5" s="172" t="s">
        <v>532</v>
      </c>
      <c r="D5" s="247">
        <f>Variables!$C11</f>
        <v>2839.8049940558699</v>
      </c>
      <c r="E5" s="209" t="str">
        <f>Variables!C10</f>
        <v>kWh</v>
      </c>
      <c r="F5" s="209" t="str">
        <f>Variables!D11</f>
        <v>CDEM</v>
      </c>
      <c r="I5" s="174"/>
    </row>
    <row r="6" spans="1:9" ht="25.5" x14ac:dyDescent="0.2">
      <c r="A6" s="172" t="s">
        <v>359</v>
      </c>
      <c r="B6" s="209" t="s">
        <v>464</v>
      </c>
      <c r="C6" s="210" t="str">
        <f>Variables!B96</f>
        <v>Full retail: domestic, 2011 prices (central)</v>
      </c>
      <c r="D6" s="248">
        <f>Variables!C96</f>
        <v>3.8922806123202176</v>
      </c>
      <c r="E6" s="209" t="str">
        <f>Variables!C$95</f>
        <v>p/kWh</v>
      </c>
      <c r="F6" s="209" t="str">
        <f>Variables!D$96</f>
        <v>Table 5, DECC Carbon Valuation Spreadsheet Tool</v>
      </c>
    </row>
    <row r="7" spans="1:9" ht="25.5" x14ac:dyDescent="0.2">
      <c r="A7" s="172" t="s">
        <v>359</v>
      </c>
      <c r="B7" s="209" t="s">
        <v>448</v>
      </c>
      <c r="C7" s="210" t="str">
        <f>Variables!B98</f>
        <v>Full retail: domestic, 2011 prices (low)</v>
      </c>
      <c r="D7" s="248">
        <f>Variables!C98</f>
        <v>2.8837924046553356</v>
      </c>
      <c r="E7" s="209" t="str">
        <f>Variables!C$95</f>
        <v>p/kWh</v>
      </c>
      <c r="F7" s="209" t="str">
        <f>Variables!D$96</f>
        <v>Table 5, DECC Carbon Valuation Spreadsheet Tool</v>
      </c>
    </row>
    <row r="8" spans="1:9" ht="25.5" x14ac:dyDescent="0.2">
      <c r="A8" s="172" t="s">
        <v>359</v>
      </c>
      <c r="B8" s="209" t="s">
        <v>449</v>
      </c>
      <c r="C8" s="210" t="str">
        <f>Variables!B106</f>
        <v>Full retail: domestic, 2020 prices (high)</v>
      </c>
      <c r="D8" s="248">
        <f>Variables!C106</f>
        <v>6.198412521240285</v>
      </c>
      <c r="E8" s="209" t="str">
        <f>Variables!C$95</f>
        <v>p/kWh</v>
      </c>
      <c r="F8" s="209" t="str">
        <f>Variables!D$96</f>
        <v>Table 5, DECC Carbon Valuation Spreadsheet Tool</v>
      </c>
    </row>
    <row r="9" spans="1:9" ht="25.5" x14ac:dyDescent="0.2">
      <c r="A9" s="172" t="s">
        <v>359</v>
      </c>
      <c r="B9" s="209" t="s">
        <v>353</v>
      </c>
      <c r="C9" s="211" t="str">
        <f>Variables!B133</f>
        <v>Full retail: domestic, 2011 prices (central)</v>
      </c>
      <c r="D9" s="248">
        <f>Variables!C111</f>
        <v>11.990340165972022</v>
      </c>
      <c r="E9" s="209" t="str">
        <f>Variables!$C$110</f>
        <v>p/kWh</v>
      </c>
      <c r="F9" s="209" t="str">
        <f>Variables!$D$111</f>
        <v>Table 4, DECC Carbon Valuation Spreadsheet Tool</v>
      </c>
    </row>
    <row r="10" spans="1:9" ht="25.5" x14ac:dyDescent="0.2">
      <c r="A10" s="172" t="s">
        <v>501</v>
      </c>
      <c r="B10" s="209" t="s">
        <v>465</v>
      </c>
      <c r="C10" s="209" t="s">
        <v>285</v>
      </c>
      <c r="D10" s="209">
        <v>0</v>
      </c>
      <c r="E10" s="209" t="s">
        <v>74</v>
      </c>
      <c r="F10" s="209" t="str">
        <f>Variables!D141</f>
        <v>Department of Energy &amp; Climate Change 2011a, p23</v>
      </c>
    </row>
    <row r="11" spans="1:9" x14ac:dyDescent="0.2">
      <c r="A11" s="172" t="s">
        <v>501</v>
      </c>
      <c r="B11" s="209" t="s">
        <v>450</v>
      </c>
      <c r="C11" s="209" t="s">
        <v>23</v>
      </c>
      <c r="D11" s="209">
        <f>Variables!C142*100</f>
        <v>1.5</v>
      </c>
      <c r="E11" s="209" t="s">
        <v>74</v>
      </c>
      <c r="F11" s="209" t="str">
        <f>Variables!D142</f>
        <v>Estimate</v>
      </c>
    </row>
    <row r="12" spans="1:9" x14ac:dyDescent="0.2">
      <c r="A12" s="172" t="s">
        <v>501</v>
      </c>
      <c r="B12" s="209" t="s">
        <v>451</v>
      </c>
      <c r="C12" s="209" t="s">
        <v>24</v>
      </c>
      <c r="D12" s="209">
        <f>Variables!C144*100</f>
        <v>4.5</v>
      </c>
      <c r="E12" s="209" t="s">
        <v>74</v>
      </c>
      <c r="F12" s="209" t="str">
        <f>Variables!D144</f>
        <v>Estimate</v>
      </c>
    </row>
    <row r="13" spans="1:9" ht="25.5" x14ac:dyDescent="0.2">
      <c r="A13" s="172" t="s">
        <v>501</v>
      </c>
      <c r="B13" s="209" t="s">
        <v>172</v>
      </c>
      <c r="C13" s="209" t="s">
        <v>285</v>
      </c>
      <c r="D13" s="209">
        <v>0</v>
      </c>
      <c r="E13" s="209" t="s">
        <v>74</v>
      </c>
      <c r="F13" s="209" t="s">
        <v>334</v>
      </c>
    </row>
    <row r="14" spans="1:9" ht="25.5" x14ac:dyDescent="0.2">
      <c r="A14" s="172" t="s">
        <v>362</v>
      </c>
      <c r="B14" s="209" t="s">
        <v>466</v>
      </c>
      <c r="C14" s="209" t="str">
        <f>Variables!B159</f>
        <v>ENERGY STAR' Buildings Recommended 'hurdle rate' (20%)</v>
      </c>
      <c r="D14" s="209">
        <f>Variables!C159*100</f>
        <v>20</v>
      </c>
      <c r="E14" s="209" t="s">
        <v>74</v>
      </c>
      <c r="F14" s="209" t="s">
        <v>206</v>
      </c>
    </row>
    <row r="15" spans="1:9" ht="25.5" x14ac:dyDescent="0.2">
      <c r="A15" s="172" t="s">
        <v>362</v>
      </c>
      <c r="B15" s="209" t="s">
        <v>452</v>
      </c>
      <c r="C15" s="209" t="s">
        <v>533</v>
      </c>
      <c r="D15" s="249">
        <f>Variables!C168*100</f>
        <v>9</v>
      </c>
      <c r="E15" s="209" t="s">
        <v>74</v>
      </c>
      <c r="F15" s="209" t="str">
        <f>Variables!D161</f>
        <v>Lainé 2011, p.24</v>
      </c>
    </row>
    <row r="16" spans="1:9" ht="25.5" x14ac:dyDescent="0.2">
      <c r="A16" s="172" t="s">
        <v>362</v>
      </c>
      <c r="B16" s="209" t="s">
        <v>453</v>
      </c>
      <c r="C16" s="209" t="str">
        <f>Variables!B160</f>
        <v>Energy 2050' Building energy conservation 'hurdle rate' (25%)</v>
      </c>
      <c r="D16" s="209">
        <f>Variables!C160*100</f>
        <v>25</v>
      </c>
      <c r="E16" s="209" t="s">
        <v>74</v>
      </c>
      <c r="F16" s="209" t="s">
        <v>207</v>
      </c>
    </row>
    <row r="17" spans="1:6" ht="25.5" x14ac:dyDescent="0.2">
      <c r="A17" s="172" t="s">
        <v>362</v>
      </c>
      <c r="B17" s="209" t="s">
        <v>467</v>
      </c>
      <c r="C17" s="209" t="str">
        <f>Variables!B166</f>
        <v>Green Deal Impact Assessment' interest rate (5%)</v>
      </c>
      <c r="D17" s="209">
        <f>Variables!C166*100</f>
        <v>5</v>
      </c>
      <c r="E17" s="209" t="s">
        <v>74</v>
      </c>
      <c r="F17" s="209" t="str">
        <f>Variables!D166</f>
        <v>Department of Energy &amp; Climate Change 2011a, p62</v>
      </c>
    </row>
    <row r="18" spans="1:6" x14ac:dyDescent="0.2">
      <c r="A18" s="172" t="s">
        <v>362</v>
      </c>
      <c r="B18" s="209" t="s">
        <v>454</v>
      </c>
      <c r="C18" s="209" t="s">
        <v>534</v>
      </c>
      <c r="D18" s="249">
        <f>Variables!C171*100</f>
        <v>3</v>
      </c>
      <c r="E18" s="209" t="s">
        <v>74</v>
      </c>
      <c r="F18" s="209" t="str">
        <f>Variables!D170</f>
        <v>Lainé 2011, p.24</v>
      </c>
    </row>
    <row r="19" spans="1:6" x14ac:dyDescent="0.2">
      <c r="A19" s="172" t="s">
        <v>362</v>
      </c>
      <c r="B19" s="209" t="s">
        <v>455</v>
      </c>
      <c r="C19" s="209" t="s">
        <v>535</v>
      </c>
      <c r="D19" s="249">
        <f>Variables!C169*100</f>
        <v>7.0000000000000009</v>
      </c>
      <c r="E19" s="209" t="s">
        <v>74</v>
      </c>
      <c r="F19" s="209" t="str">
        <f>Variables!D168</f>
        <v>Lainé 2011, p.24</v>
      </c>
    </row>
    <row r="20" spans="1:6" ht="25.5" x14ac:dyDescent="0.2">
      <c r="A20" s="172" t="s">
        <v>365</v>
      </c>
      <c r="B20" s="209" t="s">
        <v>456</v>
      </c>
      <c r="C20" s="172" t="s">
        <v>536</v>
      </c>
      <c r="D20" s="250">
        <v>5</v>
      </c>
      <c r="E20" s="209" t="s">
        <v>99</v>
      </c>
      <c r="F20" s="209" t="str">
        <f>Variables!D176</f>
        <v>Department of Energy &amp; Climate Change 2011a, p.63</v>
      </c>
    </row>
    <row r="21" spans="1:6" ht="25.5" x14ac:dyDescent="0.2">
      <c r="A21" s="172" t="s">
        <v>365</v>
      </c>
      <c r="B21" s="209" t="s">
        <v>457</v>
      </c>
      <c r="C21" s="172" t="s">
        <v>537</v>
      </c>
      <c r="D21" s="250">
        <v>10</v>
      </c>
      <c r="E21" s="209" t="s">
        <v>99</v>
      </c>
      <c r="F21" s="209" t="str">
        <f>Variables!D177</f>
        <v>Department of Energy &amp; Climate Change 2011a, p.63</v>
      </c>
    </row>
    <row r="22" spans="1:6" ht="25.5" x14ac:dyDescent="0.2">
      <c r="A22" s="172" t="s">
        <v>365</v>
      </c>
      <c r="B22" s="209" t="s">
        <v>458</v>
      </c>
      <c r="C22" s="172" t="s">
        <v>538</v>
      </c>
      <c r="D22" s="250">
        <v>25</v>
      </c>
      <c r="E22" s="209" t="s">
        <v>99</v>
      </c>
      <c r="F22" s="209" t="str">
        <f>Variables!D178</f>
        <v>Department of Energy &amp; Climate Change 2011a, p.63</v>
      </c>
    </row>
    <row r="23" spans="1:6" x14ac:dyDescent="0.2">
      <c r="A23" s="172" t="s">
        <v>367</v>
      </c>
      <c r="B23" s="209" t="s">
        <v>492</v>
      </c>
      <c r="C23" s="209" t="s">
        <v>492</v>
      </c>
      <c r="D23" s="249">
        <v>18</v>
      </c>
      <c r="E23" s="209" t="s">
        <v>74</v>
      </c>
      <c r="F23" s="209" t="s">
        <v>491</v>
      </c>
    </row>
    <row r="24" spans="1:6" ht="25.5" x14ac:dyDescent="0.2">
      <c r="A24" s="172" t="s">
        <v>367</v>
      </c>
      <c r="B24" s="209" t="s">
        <v>468</v>
      </c>
      <c r="C24" s="209" t="str">
        <f>Variables!B189</f>
        <v>Medium comfort factor</v>
      </c>
      <c r="D24" s="249">
        <f>Variables!C189*100</f>
        <v>25</v>
      </c>
      <c r="E24" s="209" t="s">
        <v>74</v>
      </c>
      <c r="F24" s="209" t="str">
        <f>Variables!D$192</f>
        <v>Estimate (based on Herring &amp; S. Sorrell 2009, p.36)</v>
      </c>
    </row>
    <row r="25" spans="1:6" ht="25.5" x14ac:dyDescent="0.2">
      <c r="A25" s="172" t="s">
        <v>367</v>
      </c>
      <c r="B25" s="209" t="s">
        <v>459</v>
      </c>
      <c r="C25" s="209" t="str">
        <f>Variables!B190</f>
        <v>No comfort factor</v>
      </c>
      <c r="D25" s="209">
        <f>Variables!C190*100</f>
        <v>0</v>
      </c>
      <c r="E25" s="209" t="s">
        <v>74</v>
      </c>
      <c r="F25" s="209" t="str">
        <f>Variables!D$192</f>
        <v>Estimate (based on Herring &amp; S. Sorrell 2009, p.36)</v>
      </c>
    </row>
    <row r="26" spans="1:6" ht="25.5" x14ac:dyDescent="0.2">
      <c r="A26" s="172" t="s">
        <v>367</v>
      </c>
      <c r="B26" s="209" t="s">
        <v>460</v>
      </c>
      <c r="C26" s="209" t="str">
        <f>Variables!B192</f>
        <v>High comfort factor</v>
      </c>
      <c r="D26" s="209">
        <f>Variables!C192*100</f>
        <v>50</v>
      </c>
      <c r="E26" s="209" t="s">
        <v>74</v>
      </c>
      <c r="F26" s="209" t="str">
        <f>Variables!D$192</f>
        <v>Estimate (based on Herring &amp; S. Sorrell 2009, p.36)</v>
      </c>
    </row>
    <row r="27" spans="1:6" ht="25.5" x14ac:dyDescent="0.2">
      <c r="A27" s="172" t="s">
        <v>367</v>
      </c>
      <c r="B27" s="209" t="s">
        <v>469</v>
      </c>
      <c r="C27" s="209" t="str">
        <f>Variables!B203</f>
        <v>Medium comfort factor</v>
      </c>
      <c r="D27" s="249">
        <f>Variables!C203*100</f>
        <v>20</v>
      </c>
      <c r="E27" s="209" t="s">
        <v>74</v>
      </c>
      <c r="F27" s="209" t="str">
        <f>Variables!D203</f>
        <v>Estimate (based on Herring &amp; S. Sorrell 2009, p.36)</v>
      </c>
    </row>
    <row r="28" spans="1:6" ht="25.5" x14ac:dyDescent="0.2">
      <c r="A28" s="172" t="s">
        <v>367</v>
      </c>
      <c r="B28" s="209" t="s">
        <v>461</v>
      </c>
      <c r="C28" s="209" t="str">
        <f>Variables!B204</f>
        <v>No comfort factor</v>
      </c>
      <c r="D28" s="249">
        <f>Variables!C204*100</f>
        <v>0</v>
      </c>
      <c r="E28" s="209" t="s">
        <v>74</v>
      </c>
      <c r="F28" s="209" t="str">
        <f>Variables!D190</f>
        <v>Estimate</v>
      </c>
    </row>
    <row r="29" spans="1:6" ht="25.5" x14ac:dyDescent="0.2">
      <c r="A29" s="172" t="s">
        <v>367</v>
      </c>
      <c r="B29" s="209" t="s">
        <v>462</v>
      </c>
      <c r="C29" s="209" t="str">
        <f>Variables!B206</f>
        <v>High comfort factor</v>
      </c>
      <c r="D29" s="249">
        <f>Variables!C206*100</f>
        <v>40</v>
      </c>
      <c r="E29" s="209" t="s">
        <v>74</v>
      </c>
      <c r="F29" s="209" t="str">
        <f>Variables!D206</f>
        <v>Estimate (based on Herring &amp; S. Sorrell 2009, p.36)</v>
      </c>
    </row>
    <row r="30" spans="1:6" ht="25.5" x14ac:dyDescent="0.2">
      <c r="A30" s="172" t="s">
        <v>367</v>
      </c>
      <c r="B30" s="172" t="s">
        <v>487</v>
      </c>
      <c r="C30" s="209" t="str">
        <f>Variables!B209</f>
        <v>Medium takeback</v>
      </c>
      <c r="D30" s="209">
        <f>Variables!C209*100</f>
        <v>10</v>
      </c>
      <c r="E30" s="209" t="s">
        <v>74</v>
      </c>
      <c r="F30" s="209" t="str">
        <f>Variables!D203</f>
        <v>Estimate (based on Herring &amp; S. Sorrell 2009, p.36)</v>
      </c>
    </row>
    <row r="31" spans="1:6" x14ac:dyDescent="0.2">
      <c r="A31" s="172" t="s">
        <v>367</v>
      </c>
      <c r="B31" s="172" t="s">
        <v>488</v>
      </c>
      <c r="C31" s="209" t="str">
        <f>Variables!B215</f>
        <v>Medium takeback</v>
      </c>
      <c r="D31" s="209">
        <f>Variables!C215*100</f>
        <v>5</v>
      </c>
      <c r="E31" s="209" t="s">
        <v>74</v>
      </c>
      <c r="F31" s="209" t="str">
        <f>Variables!D215</f>
        <v>Estimate</v>
      </c>
    </row>
    <row r="32" spans="1:6" ht="25.5" x14ac:dyDescent="0.2">
      <c r="A32" s="172" t="s">
        <v>368</v>
      </c>
      <c r="B32" s="209" t="s">
        <v>440</v>
      </c>
      <c r="C32" s="209" t="str">
        <f>Variables!B222</f>
        <v>1.5 kWp (FiT@21p/kWh, export tariff@3.1p/kWh, 50% exported)</v>
      </c>
      <c r="D32" s="209">
        <f>Variables!J222</f>
        <v>287</v>
      </c>
      <c r="E32" s="209" t="s">
        <v>98</v>
      </c>
      <c r="F32" s="209" t="str">
        <f>Variables!D222</f>
        <v>Ofgem 2011b, Firth et al. 2010</v>
      </c>
    </row>
    <row r="33" spans="1:6" ht="25.5" x14ac:dyDescent="0.2">
      <c r="A33" s="172" t="s">
        <v>368</v>
      </c>
      <c r="B33" s="209" t="s">
        <v>441</v>
      </c>
      <c r="C33" s="209" t="str">
        <f>Variables!B223</f>
        <v>3 kWp (FiT@21p/kWh, export tariff@3.1p/kWh, 50% exported)</v>
      </c>
      <c r="D33" s="209">
        <f>Variables!J223</f>
        <v>574</v>
      </c>
      <c r="E33" s="209" t="s">
        <v>98</v>
      </c>
      <c r="F33" s="209" t="str">
        <f>Variables!D223</f>
        <v>Ofgem 2011b, Firth et al. 2010</v>
      </c>
    </row>
    <row r="34" spans="1:6" ht="25.5" x14ac:dyDescent="0.2">
      <c r="A34" s="172" t="s">
        <v>368</v>
      </c>
      <c r="B34" s="209" t="s">
        <v>442</v>
      </c>
      <c r="C34" s="209" t="str">
        <f>Variables!B227</f>
        <v>3m2 @ 8.5p/kWh</v>
      </c>
      <c r="D34" s="209">
        <f>Variables!C227</f>
        <v>118</v>
      </c>
      <c r="E34" s="209" t="s">
        <v>98</v>
      </c>
      <c r="F34" s="209" t="str">
        <f>Variables!D227</f>
        <v>MacKay 2008, p.39 &amp; Department of Energy &amp; Climate Change 2011c</v>
      </c>
    </row>
    <row r="35" spans="1:6" ht="25.5" x14ac:dyDescent="0.2">
      <c r="A35" s="172" t="s">
        <v>368</v>
      </c>
      <c r="B35" s="209" t="s">
        <v>443</v>
      </c>
      <c r="C35" s="209" t="str">
        <f>Variables!B228</f>
        <v>4m2 @ 8.5p/kWh</v>
      </c>
      <c r="D35" s="209">
        <f>Variables!C228</f>
        <v>157</v>
      </c>
      <c r="E35" s="209" t="s">
        <v>98</v>
      </c>
      <c r="F35" s="209" t="str">
        <f>Variables!D228</f>
        <v>MacKay 2008, p.39 &amp; Department of Energy &amp; Climate Change 2011c</v>
      </c>
    </row>
    <row r="36" spans="1:6" ht="25.5" x14ac:dyDescent="0.2">
      <c r="A36" s="172" t="s">
        <v>374</v>
      </c>
      <c r="B36" s="209" t="s">
        <v>470</v>
      </c>
      <c r="C36" s="209" t="str">
        <f>Variables!B231</f>
        <v>EEC Transaction costs (utility)</v>
      </c>
      <c r="D36" s="209">
        <f>Variables!C231*100</f>
        <v>18</v>
      </c>
      <c r="E36" s="209" t="s">
        <v>74</v>
      </c>
      <c r="F36" s="209" t="str">
        <f>Variables!D231</f>
        <v>Ofgem in Department of Energy &amp; Climate Change 2011a, p25+106</v>
      </c>
    </row>
    <row r="37" spans="1:6" x14ac:dyDescent="0.2">
      <c r="A37" s="172" t="s">
        <v>374</v>
      </c>
      <c r="B37" s="209" t="s">
        <v>444</v>
      </c>
      <c r="C37" s="209" t="str">
        <f>Variables!B232</f>
        <v>Retailer ESCO Transaction costs</v>
      </c>
      <c r="D37" s="209">
        <f>Variables!C232*100</f>
        <v>25</v>
      </c>
      <c r="E37" s="209" t="s">
        <v>74</v>
      </c>
      <c r="F37" s="209" t="str">
        <f>Variables!D232</f>
        <v>Estimate</v>
      </c>
    </row>
    <row r="38" spans="1:6" x14ac:dyDescent="0.2">
      <c r="A38" s="172" t="s">
        <v>374</v>
      </c>
      <c r="B38" s="172" t="s">
        <v>445</v>
      </c>
      <c r="C38" s="172" t="str">
        <f>Variables!B234</f>
        <v>Mini-ESCO Transaction costs</v>
      </c>
      <c r="D38" s="172">
        <f>Variables!C234*100</f>
        <v>50</v>
      </c>
      <c r="E38" s="172" t="s">
        <v>74</v>
      </c>
      <c r="F38" s="172" t="str">
        <f>Variables!D234</f>
        <v>Estimate</v>
      </c>
    </row>
    <row r="39" spans="1:6" x14ac:dyDescent="0.2">
      <c r="D39" s="17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6"/>
  <sheetViews>
    <sheetView zoomScale="80" zoomScaleNormal="80" workbookViewId="0">
      <pane xSplit="1" ySplit="1" topLeftCell="F2" activePane="bottomRight" state="frozen"/>
      <selection pane="topRight" activeCell="B1" sqref="B1"/>
      <selection pane="bottomLeft" activeCell="A3" sqref="A3"/>
      <selection pane="bottomRight" activeCell="J28" sqref="J28"/>
    </sheetView>
  </sheetViews>
  <sheetFormatPr defaultRowHeight="12.75" x14ac:dyDescent="0.2"/>
  <cols>
    <col min="1" max="1" width="73.140625" bestFit="1" customWidth="1"/>
    <col min="2" max="2" width="11.28515625" hidden="1" customWidth="1"/>
    <col min="3" max="4" width="15.42578125" hidden="1" customWidth="1"/>
    <col min="5" max="5" width="12.7109375" hidden="1" customWidth="1"/>
    <col min="6" max="6" width="14.28515625" style="181" bestFit="1" customWidth="1"/>
    <col min="7" max="7" width="21.28515625" style="181" bestFit="1" customWidth="1"/>
    <col min="8" max="8" width="16.5703125" style="166" bestFit="1" customWidth="1"/>
    <col min="9" max="9" width="8.28515625" style="165" customWidth="1"/>
  </cols>
  <sheetData>
    <row r="1" spans="1:9" s="59" customFormat="1" x14ac:dyDescent="0.2">
      <c r="A1" s="59" t="s">
        <v>485</v>
      </c>
      <c r="F1" s="298" t="s">
        <v>486</v>
      </c>
      <c r="G1" s="298"/>
      <c r="H1" s="298"/>
      <c r="I1" s="261"/>
    </row>
    <row r="2" spans="1:9" s="181" customFormat="1" hidden="1" x14ac:dyDescent="0.2">
      <c r="A2" s="212"/>
      <c r="B2" s="76"/>
      <c r="C2" s="76"/>
      <c r="D2" s="76"/>
      <c r="E2" s="76"/>
      <c r="G2" s="230">
        <v>-4.2127753495257849</v>
      </c>
      <c r="H2" s="193">
        <v>-2.841490285470166</v>
      </c>
      <c r="I2" s="213"/>
    </row>
    <row r="3" spans="1:9" s="181" customFormat="1" x14ac:dyDescent="0.2">
      <c r="A3" s="57" t="s">
        <v>481</v>
      </c>
      <c r="B3" s="57"/>
      <c r="C3" s="57"/>
      <c r="D3" s="57"/>
      <c r="E3" s="57"/>
      <c r="F3" s="57" t="s">
        <v>429</v>
      </c>
      <c r="G3" s="57" t="s">
        <v>245</v>
      </c>
      <c r="H3" s="57" t="s">
        <v>284</v>
      </c>
      <c r="I3" s="213"/>
    </row>
    <row r="4" spans="1:9" s="117" customFormat="1" hidden="1" x14ac:dyDescent="0.2">
      <c r="A4" s="232" t="s">
        <v>473</v>
      </c>
      <c r="B4" s="216"/>
      <c r="C4" s="216"/>
      <c r="D4" s="216"/>
      <c r="E4" s="216"/>
      <c r="F4" s="192">
        <f>Variables!C44*(1-0.15)</f>
        <v>0.1874845</v>
      </c>
      <c r="G4" s="234">
        <v>0.12</v>
      </c>
      <c r="H4" s="235">
        <v>0.09</v>
      </c>
      <c r="I4" s="208"/>
    </row>
    <row r="5" spans="1:9" x14ac:dyDescent="0.2">
      <c r="A5" s="232" t="s">
        <v>392</v>
      </c>
      <c r="B5" s="216"/>
      <c r="C5" s="216"/>
      <c r="D5" s="216"/>
      <c r="E5" s="216"/>
      <c r="F5" s="192">
        <f>Variables!C44*(1-0.15)</f>
        <v>0.1874845</v>
      </c>
      <c r="G5" s="236">
        <v>7.0000000000000007E-2</v>
      </c>
      <c r="H5" s="237">
        <v>0.09</v>
      </c>
    </row>
    <row r="6" spans="1:9" x14ac:dyDescent="0.2">
      <c r="A6" s="233" t="s">
        <v>124</v>
      </c>
      <c r="B6" s="224"/>
      <c r="C6" s="224"/>
      <c r="D6" s="224"/>
      <c r="E6" s="224"/>
      <c r="F6" s="192">
        <f>Variables!C17*(1-0.15)</f>
        <v>0.17</v>
      </c>
      <c r="G6" s="236">
        <v>0.02</v>
      </c>
      <c r="H6" s="237">
        <v>7.0000000000000007E-2</v>
      </c>
    </row>
    <row r="7" spans="1:9" x14ac:dyDescent="0.2">
      <c r="A7" s="232" t="s">
        <v>394</v>
      </c>
      <c r="B7" s="223"/>
      <c r="C7" s="223"/>
      <c r="D7" s="223"/>
      <c r="E7" s="223"/>
      <c r="F7" s="192">
        <f>Variables!C53*(1-0.15)</f>
        <v>4.165E-2</v>
      </c>
      <c r="G7" s="236">
        <v>0</v>
      </c>
      <c r="H7" s="237">
        <v>0.02</v>
      </c>
    </row>
    <row r="8" spans="1:9" x14ac:dyDescent="0.2">
      <c r="A8" s="233" t="s">
        <v>407</v>
      </c>
      <c r="B8" s="224"/>
      <c r="C8" s="224"/>
      <c r="D8" s="224"/>
      <c r="E8" s="224"/>
      <c r="F8" s="192">
        <f>Variables!C46*(1-0.15)</f>
        <v>2.4650000000000002E-2</v>
      </c>
      <c r="G8" s="236">
        <v>-0.03</v>
      </c>
      <c r="H8" s="237">
        <v>-0.01</v>
      </c>
    </row>
    <row r="9" spans="1:9" x14ac:dyDescent="0.2">
      <c r="A9" s="233" t="s">
        <v>408</v>
      </c>
      <c r="B9" s="224"/>
      <c r="C9" s="224"/>
      <c r="D9" s="224"/>
      <c r="E9" s="224"/>
      <c r="F9" s="192">
        <f>Variables!C49*(1-0.15)</f>
        <v>1.3599999999999999E-2</v>
      </c>
      <c r="G9" s="236">
        <v>-0.04</v>
      </c>
      <c r="H9" s="237">
        <v>-0.02</v>
      </c>
    </row>
    <row r="10" spans="1:9" s="181" customFormat="1" x14ac:dyDescent="0.2">
      <c r="A10" s="238" t="s">
        <v>409</v>
      </c>
      <c r="B10" s="214"/>
      <c r="C10" s="214"/>
      <c r="D10" s="214"/>
      <c r="E10" s="214"/>
      <c r="F10" s="192">
        <f>Variables!C46*(1-0.15)</f>
        <v>2.4650000000000002E-2</v>
      </c>
      <c r="G10" s="194">
        <v>-0.08</v>
      </c>
      <c r="H10" s="239">
        <v>-0.04</v>
      </c>
      <c r="I10" s="165"/>
    </row>
    <row r="11" spans="1:9" x14ac:dyDescent="0.2">
      <c r="A11" s="165" t="s">
        <v>393</v>
      </c>
      <c r="B11" s="181"/>
      <c r="C11" s="181"/>
      <c r="D11" s="181"/>
      <c r="E11" s="181"/>
      <c r="F11" s="192">
        <f>Variables!C48*(1-0.15)</f>
        <v>1.3599999999999999E-2</v>
      </c>
      <c r="G11" s="194">
        <v>-0.09</v>
      </c>
      <c r="H11" s="193">
        <v>-0.06</v>
      </c>
    </row>
    <row r="12" spans="1:9" x14ac:dyDescent="0.2">
      <c r="A12" s="240" t="s">
        <v>400</v>
      </c>
      <c r="B12" s="215"/>
      <c r="C12" s="215"/>
      <c r="D12" s="215"/>
      <c r="E12" s="215"/>
      <c r="F12" s="192">
        <f>Variables!C18*(1-0.15)</f>
        <v>0.17</v>
      </c>
      <c r="G12" s="192">
        <v>-0.13</v>
      </c>
      <c r="H12" s="239">
        <v>-0.04</v>
      </c>
    </row>
    <row r="13" spans="1:9" x14ac:dyDescent="0.2">
      <c r="A13" s="231" t="s">
        <v>265</v>
      </c>
      <c r="B13" s="169"/>
      <c r="C13" s="169"/>
      <c r="D13" s="169"/>
      <c r="E13" s="169"/>
      <c r="F13" s="219">
        <f>Variables!C19*(1-0.15)</f>
        <v>0.17</v>
      </c>
      <c r="G13" s="219">
        <v>-0.42</v>
      </c>
      <c r="H13" s="229">
        <v>-0.23</v>
      </c>
    </row>
    <row r="14" spans="1:9" x14ac:dyDescent="0.2">
      <c r="A14" s="57" t="s">
        <v>480</v>
      </c>
      <c r="B14" s="57"/>
      <c r="C14" s="57"/>
      <c r="D14" s="57"/>
      <c r="E14" s="57"/>
      <c r="F14" s="57" t="s">
        <v>429</v>
      </c>
      <c r="G14" s="57" t="s">
        <v>245</v>
      </c>
      <c r="H14" s="57" t="s">
        <v>284</v>
      </c>
    </row>
    <row r="15" spans="1:9" hidden="1" x14ac:dyDescent="0.2">
      <c r="A15" s="212"/>
      <c r="B15" s="76"/>
      <c r="C15" s="76"/>
      <c r="D15" s="76"/>
      <c r="E15" s="76"/>
      <c r="F15" s="195"/>
      <c r="G15" s="192">
        <v>-0.68328183352922145</v>
      </c>
      <c r="H15" s="193">
        <v>-0.18565315863835602</v>
      </c>
    </row>
    <row r="16" spans="1:9" x14ac:dyDescent="0.2">
      <c r="A16" s="240" t="s">
        <v>390</v>
      </c>
      <c r="B16" s="215"/>
      <c r="C16" s="215"/>
      <c r="D16" s="215"/>
      <c r="E16" s="215"/>
      <c r="F16" s="192">
        <f>Variables!C$37*(1-0.15)</f>
        <v>0.20654999999999998</v>
      </c>
      <c r="G16" s="192">
        <v>-0.29214489595576354</v>
      </c>
      <c r="H16" s="239">
        <v>2.7866775851027179E-2</v>
      </c>
    </row>
    <row r="17" spans="1:8" x14ac:dyDescent="0.2">
      <c r="A17" s="238" t="s">
        <v>398</v>
      </c>
      <c r="B17" s="214"/>
      <c r="C17" s="214"/>
      <c r="D17" s="214"/>
      <c r="E17" s="214"/>
      <c r="F17" s="192">
        <f>Variables!C$35*(1-0.15)</f>
        <v>0.20654999999999998</v>
      </c>
      <c r="G17" s="192">
        <v>-0.34485543995084833</v>
      </c>
      <c r="H17" s="239">
        <v>9.3630842789191246E-3</v>
      </c>
    </row>
    <row r="18" spans="1:8" ht="12.75" customHeight="1" x14ac:dyDescent="0.2">
      <c r="A18" s="240" t="s">
        <v>391</v>
      </c>
      <c r="B18" s="215"/>
      <c r="C18" s="215"/>
      <c r="D18" s="215"/>
      <c r="E18" s="215"/>
      <c r="F18" s="192">
        <f>Variables!C40*(1-0.15)</f>
        <v>0.36549999999999999</v>
      </c>
      <c r="G18" s="192">
        <v>-0.48190285433806884</v>
      </c>
      <c r="H18" s="239">
        <v>-3.8746513808561839E-2</v>
      </c>
    </row>
    <row r="19" spans="1:8" x14ac:dyDescent="0.2">
      <c r="A19" s="240" t="s">
        <v>388</v>
      </c>
      <c r="B19" s="215"/>
      <c r="C19" s="215"/>
      <c r="D19" s="215"/>
      <c r="E19" s="215"/>
      <c r="F19" s="192">
        <f>Variables!C29*(1-0.15)</f>
        <v>0.20654999999999998</v>
      </c>
      <c r="G19" s="192">
        <v>-0.53883024185276018</v>
      </c>
      <c r="H19" s="239">
        <v>-5.8730500706438579E-2</v>
      </c>
    </row>
    <row r="20" spans="1:8" x14ac:dyDescent="0.2">
      <c r="A20" s="238" t="s">
        <v>399</v>
      </c>
      <c r="B20" s="217"/>
      <c r="C20" s="217"/>
      <c r="D20" s="217"/>
      <c r="E20" s="217"/>
      <c r="F20" s="192">
        <f>Variables!C36*(1-0.15)</f>
        <v>0.20654999999999998</v>
      </c>
      <c r="G20" s="192">
        <v>-0.55569761593118749</v>
      </c>
      <c r="H20" s="239">
        <v>-6.4651682009513142E-2</v>
      </c>
    </row>
    <row r="21" spans="1:8" x14ac:dyDescent="0.2">
      <c r="A21" s="240" t="s">
        <v>396</v>
      </c>
      <c r="B21" s="215"/>
      <c r="C21" s="215"/>
      <c r="D21" s="215"/>
      <c r="E21" s="215"/>
      <c r="F21" s="192">
        <f>Variables!C27*(1-0.15)</f>
        <v>0.20654999999999998</v>
      </c>
      <c r="G21" s="192">
        <v>-0.61895026872528913</v>
      </c>
      <c r="H21" s="239">
        <v>-8.6856111896042795E-2</v>
      </c>
    </row>
    <row r="22" spans="1:8" x14ac:dyDescent="0.2">
      <c r="A22" s="165" t="s">
        <v>293</v>
      </c>
      <c r="B22" s="181"/>
      <c r="C22" s="181"/>
      <c r="D22" s="181"/>
      <c r="E22" s="181"/>
      <c r="F22" s="192">
        <f>Variables!C55*(1-0.15)</f>
        <v>8.585000000000001E-2</v>
      </c>
      <c r="G22" s="192">
        <v>-0.68328183352922145</v>
      </c>
      <c r="H22" s="193">
        <v>-0.18565315863835602</v>
      </c>
    </row>
    <row r="23" spans="1:8" x14ac:dyDescent="0.2">
      <c r="A23" s="165" t="s">
        <v>126</v>
      </c>
      <c r="B23" s="181"/>
      <c r="C23" s="181"/>
      <c r="D23" s="181"/>
      <c r="E23" s="181"/>
      <c r="F23" s="192">
        <f>Variables!C32*(1-0.15)</f>
        <v>0.20654999999999998</v>
      </c>
      <c r="G23" s="192">
        <v>-0.87196087990169646</v>
      </c>
      <c r="H23" s="193">
        <v>-0.17567383144216153</v>
      </c>
    </row>
    <row r="24" spans="1:8" x14ac:dyDescent="0.2">
      <c r="A24" s="165" t="s">
        <v>389</v>
      </c>
      <c r="B24" s="181"/>
      <c r="C24" s="181"/>
      <c r="D24" s="181"/>
      <c r="E24" s="181"/>
      <c r="F24" s="192">
        <f>Variables!C30*(1-0.15)</f>
        <v>0.20654999999999998</v>
      </c>
      <c r="G24" s="192">
        <v>-1.0132251378085237</v>
      </c>
      <c r="H24" s="193">
        <v>-0.22526372485541116</v>
      </c>
    </row>
    <row r="25" spans="1:8" x14ac:dyDescent="0.2">
      <c r="A25" s="165" t="s">
        <v>397</v>
      </c>
      <c r="B25" s="181"/>
      <c r="C25" s="181"/>
      <c r="D25" s="181"/>
      <c r="E25" s="181"/>
      <c r="F25" s="192">
        <f>Variables!C28*(1-0.15)</f>
        <v>0.20654999999999998</v>
      </c>
      <c r="G25" s="192">
        <v>-1.1460557086761376</v>
      </c>
      <c r="H25" s="193">
        <v>-0.27189302761712342</v>
      </c>
    </row>
    <row r="26" spans="1:8" x14ac:dyDescent="0.2">
      <c r="A26" s="165" t="s">
        <v>271</v>
      </c>
      <c r="B26" s="181"/>
      <c r="C26" s="181"/>
      <c r="D26" s="181"/>
      <c r="E26" s="181"/>
      <c r="F26" s="192">
        <f>Variables!C32*(1-0.15)</f>
        <v>0.20654999999999998</v>
      </c>
      <c r="G26" s="192">
        <v>-1.293645231862375</v>
      </c>
      <c r="H26" s="193">
        <v>-0.32370336401902605</v>
      </c>
    </row>
    <row r="27" spans="1:8" x14ac:dyDescent="0.2">
      <c r="A27" s="165" t="s">
        <v>125</v>
      </c>
      <c r="B27" s="181"/>
      <c r="C27" s="181"/>
      <c r="D27" s="181"/>
      <c r="E27" s="181"/>
      <c r="F27" s="192">
        <f>Variables!C24*(1-0.15)</f>
        <v>0.20654999999999998</v>
      </c>
      <c r="G27" s="192">
        <v>-1.42</v>
      </c>
      <c r="H27" s="193">
        <v>-0.37</v>
      </c>
    </row>
    <row r="28" spans="1:8" x14ac:dyDescent="0.2">
      <c r="A28" s="227" t="s">
        <v>269</v>
      </c>
      <c r="B28" s="228"/>
      <c r="C28" s="228"/>
      <c r="D28" s="228"/>
      <c r="E28" s="228"/>
      <c r="F28" s="219">
        <f>Variables!C25*(1-0.15)</f>
        <v>0.20654999999999998</v>
      </c>
      <c r="G28" s="219">
        <v>-2.474361417352275</v>
      </c>
      <c r="H28" s="229">
        <v>-0.73818605523424663</v>
      </c>
    </row>
    <row r="29" spans="1:8" x14ac:dyDescent="0.2">
      <c r="A29" s="57" t="s">
        <v>482</v>
      </c>
      <c r="B29" s="73"/>
      <c r="C29" s="73"/>
      <c r="D29" s="73"/>
      <c r="E29" s="73"/>
      <c r="F29" s="57" t="s">
        <v>429</v>
      </c>
      <c r="G29" s="57" t="s">
        <v>245</v>
      </c>
      <c r="H29" s="57" t="s">
        <v>284</v>
      </c>
    </row>
    <row r="30" spans="1:8" hidden="1" x14ac:dyDescent="0.2">
      <c r="A30" s="212"/>
      <c r="B30" s="76"/>
      <c r="C30" s="76"/>
      <c r="D30" s="76"/>
      <c r="E30" s="76"/>
      <c r="F30" s="195"/>
      <c r="G30" s="192">
        <v>-0.24821427732746126</v>
      </c>
      <c r="H30" s="193">
        <v>-6.7991931124804103E-2</v>
      </c>
    </row>
    <row r="31" spans="1:8" x14ac:dyDescent="0.2">
      <c r="A31" s="232" t="s">
        <v>405</v>
      </c>
      <c r="B31" s="216"/>
      <c r="C31" s="216"/>
      <c r="D31" s="216"/>
      <c r="E31" s="216"/>
      <c r="F31" s="192">
        <f>Variables!C65*(1-0.15)</f>
        <v>2.2099999999999998E-2</v>
      </c>
      <c r="G31" s="236">
        <v>-5.3817402203617734E-3</v>
      </c>
      <c r="H31" s="237">
        <v>7.2906005877613938E-3</v>
      </c>
    </row>
    <row r="32" spans="1:8" x14ac:dyDescent="0.2">
      <c r="A32" s="232" t="s">
        <v>472</v>
      </c>
      <c r="B32" s="216"/>
      <c r="C32" s="216"/>
      <c r="D32" s="216"/>
      <c r="E32" s="216"/>
      <c r="F32" s="192">
        <f>Variables!C67*(1-0.15)</f>
        <v>4.4199999999999996E-2</v>
      </c>
      <c r="G32" s="236">
        <v>-2.3204350550904307E-2</v>
      </c>
      <c r="H32" s="237">
        <v>7.8265014694032468E-3</v>
      </c>
    </row>
    <row r="33" spans="1:8" x14ac:dyDescent="0.2">
      <c r="A33" s="232" t="s">
        <v>404</v>
      </c>
      <c r="B33" s="216"/>
      <c r="C33" s="216"/>
      <c r="D33" s="216"/>
      <c r="E33" s="216"/>
      <c r="F33" s="192">
        <f>Variables!C63*(1-0.15)</f>
        <v>2.2099999999999998E-2</v>
      </c>
      <c r="G33" s="236">
        <v>-1.7822610330542533E-2</v>
      </c>
      <c r="H33" s="237">
        <v>5.3590088164205229E-4</v>
      </c>
    </row>
    <row r="34" spans="1:8" x14ac:dyDescent="0.2">
      <c r="A34" s="233" t="s">
        <v>296</v>
      </c>
      <c r="B34" s="224"/>
      <c r="C34" s="224"/>
      <c r="D34" s="224"/>
      <c r="E34" s="224"/>
      <c r="F34" s="192">
        <f>Variables!C64*(1-0.15)</f>
        <v>2.2099999999999998E-2</v>
      </c>
      <c r="G34" s="236">
        <v>-3.0263480440723495E-2</v>
      </c>
      <c r="H34" s="237">
        <v>-6.2187988244772905E-3</v>
      </c>
    </row>
    <row r="35" spans="1:8" x14ac:dyDescent="0.2">
      <c r="A35" s="240" t="s">
        <v>295</v>
      </c>
      <c r="B35" s="215"/>
      <c r="C35" s="215"/>
      <c r="D35" s="215"/>
      <c r="E35" s="215"/>
      <c r="F35" s="192">
        <f>Variables!C62*(1-0.15)</f>
        <v>2.2099999999999998E-2</v>
      </c>
      <c r="G35" s="192">
        <v>-5.5145220661085216E-2</v>
      </c>
      <c r="H35" s="239">
        <v>-1.9728198236715972E-2</v>
      </c>
    </row>
    <row r="36" spans="1:8" x14ac:dyDescent="0.2">
      <c r="A36" s="238" t="s">
        <v>471</v>
      </c>
      <c r="B36" s="217"/>
      <c r="C36" s="217"/>
      <c r="D36" s="217"/>
      <c r="E36" s="217"/>
      <c r="F36" s="192">
        <f>Variables!C66*(1-0.15)</f>
        <v>4.4199999999999996E-2</v>
      </c>
      <c r="G36" s="192">
        <v>-8.540870110180851E-2</v>
      </c>
      <c r="H36" s="239">
        <v>-2.5946997061193463E-2</v>
      </c>
    </row>
    <row r="37" spans="1:8" x14ac:dyDescent="0.2">
      <c r="A37" s="165" t="s">
        <v>403</v>
      </c>
      <c r="B37" s="181"/>
      <c r="C37" s="181"/>
      <c r="D37" s="181"/>
      <c r="E37" s="181"/>
      <c r="F37" s="192">
        <f>Variables!C61*(1-0.15)</f>
        <v>0.10029999999999999</v>
      </c>
      <c r="G37" s="192">
        <v>-0.22500992677655718</v>
      </c>
      <c r="H37" s="193">
        <v>-7.5818432594207327E-2</v>
      </c>
    </row>
    <row r="38" spans="1:8" x14ac:dyDescent="0.2">
      <c r="A38" s="165" t="s">
        <v>406</v>
      </c>
      <c r="B38" s="181"/>
      <c r="C38" s="181"/>
      <c r="D38" s="181"/>
      <c r="E38" s="181"/>
      <c r="F38" s="192">
        <f>Variables!C69*(1-0.15)</f>
        <v>0.14450000000000002</v>
      </c>
      <c r="G38" s="192">
        <v>-0.24821427732746126</v>
      </c>
      <c r="H38" s="193">
        <v>-6.7991931124804103E-2</v>
      </c>
    </row>
    <row r="39" spans="1:8" x14ac:dyDescent="0.2">
      <c r="A39" s="165" t="s">
        <v>294</v>
      </c>
      <c r="B39" s="181"/>
      <c r="C39" s="181"/>
      <c r="D39" s="181"/>
      <c r="E39" s="181"/>
      <c r="F39" s="192">
        <f>Variables!C60*(1-0.15)</f>
        <v>0.10029999999999999</v>
      </c>
      <c r="G39" s="192">
        <v>-0.53851985355311449</v>
      </c>
      <c r="H39" s="193">
        <v>-0.24603686518841472</v>
      </c>
    </row>
    <row r="40" spans="1:8" x14ac:dyDescent="0.2">
      <c r="A40" s="227" t="s">
        <v>297</v>
      </c>
      <c r="B40" s="228"/>
      <c r="C40" s="228"/>
      <c r="D40" s="228"/>
      <c r="E40" s="228"/>
      <c r="F40" s="219">
        <f>Variables!C68*(1-0.15)</f>
        <v>0.14450000000000002</v>
      </c>
      <c r="G40" s="219">
        <v>-0.62392855465492258</v>
      </c>
      <c r="H40" s="229">
        <v>-0.27198386224960824</v>
      </c>
    </row>
    <row r="41" spans="1:8" x14ac:dyDescent="0.2">
      <c r="A41" s="57" t="s">
        <v>483</v>
      </c>
      <c r="B41" s="73"/>
      <c r="C41" s="73"/>
      <c r="D41" s="73"/>
      <c r="E41" s="73"/>
      <c r="F41" s="57" t="s">
        <v>429</v>
      </c>
      <c r="G41" s="57" t="s">
        <v>245</v>
      </c>
      <c r="H41" s="57" t="s">
        <v>284</v>
      </c>
    </row>
    <row r="42" spans="1:8" hidden="1" x14ac:dyDescent="0.2">
      <c r="A42" s="212"/>
      <c r="B42" s="76"/>
      <c r="C42" s="76"/>
      <c r="D42" s="76"/>
      <c r="E42" s="76"/>
      <c r="F42" s="195" t="s">
        <v>474</v>
      </c>
      <c r="G42" s="192">
        <v>0</v>
      </c>
      <c r="H42" s="193">
        <v>0</v>
      </c>
    </row>
    <row r="43" spans="1:8" hidden="1" x14ac:dyDescent="0.2">
      <c r="A43" s="212"/>
      <c r="B43" s="76"/>
      <c r="C43" s="76"/>
      <c r="D43" s="76"/>
      <c r="E43" s="76"/>
      <c r="F43" s="195" t="s">
        <v>475</v>
      </c>
      <c r="G43" s="192">
        <v>-3.4022251719858199</v>
      </c>
      <c r="H43" s="193">
        <v>3.6869425683003117E-2</v>
      </c>
    </row>
    <row r="44" spans="1:8" x14ac:dyDescent="0.2">
      <c r="A44" s="238" t="s">
        <v>410</v>
      </c>
      <c r="B44" s="214"/>
      <c r="C44" s="214"/>
      <c r="D44" s="214"/>
      <c r="E44" s="214"/>
      <c r="F44" s="192">
        <f>Variables!C74</f>
        <v>4.8000000000000001E-2</v>
      </c>
      <c r="G44" s="192">
        <v>-0.22865780665180149</v>
      </c>
      <c r="H44" s="239">
        <v>1.3190160309035784E-2</v>
      </c>
    </row>
    <row r="45" spans="1:8" x14ac:dyDescent="0.2">
      <c r="A45" s="238" t="s">
        <v>411</v>
      </c>
      <c r="B45" s="214"/>
      <c r="C45" s="214"/>
      <c r="D45" s="214"/>
      <c r="E45" s="214"/>
      <c r="F45" s="192">
        <f>Variables!C76</f>
        <v>6.4000000000000001E-2</v>
      </c>
      <c r="G45" s="192">
        <v>-0.23489102817876856</v>
      </c>
      <c r="H45" s="239">
        <v>4.1963791205045349E-2</v>
      </c>
    </row>
    <row r="46" spans="1:8" x14ac:dyDescent="0.2">
      <c r="A46" s="208" t="s">
        <v>248</v>
      </c>
      <c r="B46" s="117"/>
      <c r="C46" s="117"/>
      <c r="D46" s="117"/>
      <c r="E46" s="117"/>
      <c r="F46" s="192">
        <f>Variables!C73</f>
        <v>4.8000000000000001E-2</v>
      </c>
      <c r="G46" s="192">
        <v>-0.59763161461739522</v>
      </c>
      <c r="H46" s="193">
        <v>-0.11633568069572067</v>
      </c>
    </row>
    <row r="47" spans="1:8" ht="12" customHeight="1" x14ac:dyDescent="0.2">
      <c r="A47" s="208" t="s">
        <v>249</v>
      </c>
      <c r="B47" s="117"/>
      <c r="C47" s="117"/>
      <c r="D47" s="117"/>
      <c r="E47" s="117"/>
      <c r="F47" s="192">
        <f>Variables!C75</f>
        <v>6.4000000000000001E-2</v>
      </c>
      <c r="G47" s="192">
        <v>-0.65657538013944705</v>
      </c>
      <c r="H47" s="193">
        <v>-0.10606574137181919</v>
      </c>
    </row>
    <row r="48" spans="1:8" x14ac:dyDescent="0.2">
      <c r="A48" s="208" t="s">
        <v>414</v>
      </c>
      <c r="B48" s="117"/>
      <c r="C48" s="117"/>
      <c r="D48" s="117"/>
      <c r="E48" s="117"/>
      <c r="F48" s="192">
        <f>Variables!C91</f>
        <v>0.20100000000000001</v>
      </c>
      <c r="G48" s="192">
        <v>-3.0638803393995722</v>
      </c>
      <c r="H48" s="193">
        <v>-0.46707189114795478</v>
      </c>
    </row>
    <row r="49" spans="1:8" x14ac:dyDescent="0.2">
      <c r="A49" s="238" t="s">
        <v>415</v>
      </c>
      <c r="B49" s="217"/>
      <c r="C49" s="217"/>
      <c r="D49" s="217"/>
      <c r="E49" s="217"/>
      <c r="F49" s="192">
        <f>Variables!C93</f>
        <v>0.40100000000000002</v>
      </c>
      <c r="G49" s="192">
        <v>-3.4022251719858199</v>
      </c>
      <c r="H49" s="239">
        <v>3.6869425683003117E-2</v>
      </c>
    </row>
    <row r="50" spans="1:8" x14ac:dyDescent="0.2">
      <c r="A50" s="208" t="s">
        <v>412</v>
      </c>
      <c r="B50" s="117"/>
      <c r="C50" s="117"/>
      <c r="D50" s="117"/>
      <c r="E50" s="117"/>
      <c r="F50" s="192">
        <f>Variables!C90</f>
        <v>0.20100000000000001</v>
      </c>
      <c r="G50" s="192">
        <v>-7.0038335996195586</v>
      </c>
      <c r="H50" s="193">
        <v>-1.8501667031163236</v>
      </c>
    </row>
    <row r="51" spans="1:8" x14ac:dyDescent="0.2">
      <c r="A51" s="227" t="s">
        <v>395</v>
      </c>
      <c r="B51" s="228"/>
      <c r="C51" s="228"/>
      <c r="D51" s="228"/>
      <c r="E51" s="228"/>
      <c r="F51" s="219">
        <f>Variables!C92</f>
        <v>0.40100000000000002</v>
      </c>
      <c r="G51" s="219">
        <v>-8.6554961856124688</v>
      </c>
      <c r="H51" s="229">
        <v>-1.8072569902748219</v>
      </c>
    </row>
    <row r="52" spans="1:8" hidden="1" x14ac:dyDescent="0.2">
      <c r="A52" s="165"/>
      <c r="B52" s="181"/>
      <c r="C52" s="181"/>
      <c r="D52" s="181"/>
      <c r="E52" s="181"/>
      <c r="G52" s="192">
        <v>-8.0117244268823294E-3</v>
      </c>
      <c r="H52" s="193">
        <v>5.900000000000008E-2</v>
      </c>
    </row>
    <row r="53" spans="1:8" x14ac:dyDescent="0.2">
      <c r="A53" s="57" t="s">
        <v>484</v>
      </c>
      <c r="B53" s="73"/>
      <c r="C53" s="73"/>
      <c r="D53" s="73"/>
      <c r="E53" s="73"/>
      <c r="F53" s="57" t="s">
        <v>429</v>
      </c>
      <c r="G53" s="57" t="s">
        <v>245</v>
      </c>
      <c r="H53" s="57" t="s">
        <v>284</v>
      </c>
    </row>
    <row r="54" spans="1:8" x14ac:dyDescent="0.2">
      <c r="A54" s="233" t="s">
        <v>476</v>
      </c>
      <c r="B54" s="215"/>
      <c r="C54" s="215"/>
      <c r="D54" s="215"/>
      <c r="E54" s="215"/>
      <c r="F54" s="192">
        <f>Variables!C83</f>
        <v>0.16</v>
      </c>
      <c r="G54" s="236">
        <v>-8.0117244268823294E-3</v>
      </c>
      <c r="H54" s="237">
        <v>5.900000000000008E-2</v>
      </c>
    </row>
    <row r="55" spans="1:8" x14ac:dyDescent="0.2">
      <c r="A55" s="232" t="s">
        <v>131</v>
      </c>
      <c r="B55" s="223"/>
      <c r="C55" s="223"/>
      <c r="D55" s="223"/>
      <c r="E55" s="223"/>
      <c r="F55" s="192">
        <f>Variables!C81</f>
        <v>0.1</v>
      </c>
      <c r="G55" s="236">
        <v>-4.5042164279681482E-2</v>
      </c>
      <c r="H55" s="237">
        <v>1.6979292827977006E-2</v>
      </c>
    </row>
    <row r="56" spans="1:8" x14ac:dyDescent="0.2">
      <c r="A56" s="241" t="s">
        <v>133</v>
      </c>
      <c r="B56" s="218"/>
      <c r="C56" s="218"/>
      <c r="D56" s="218"/>
      <c r="E56" s="218"/>
      <c r="F56" s="219">
        <f>Variables!C82</f>
        <v>0.06</v>
      </c>
      <c r="G56" s="219">
        <v>-6.2969560147200926E-2</v>
      </c>
      <c r="H56" s="242">
        <v>-7.0108985115910332E-3</v>
      </c>
    </row>
  </sheetData>
  <sortState ref="A44:J51">
    <sortCondition descending="1" ref="G44:G51"/>
  </sortState>
  <mergeCells count="1">
    <mergeCell ref="F1:H1"/>
  </mergeCells>
  <pageMargins left="0.7" right="0.7" top="0.75" bottom="0.75" header="0.3" footer="0.3"/>
  <ignoredErrors>
    <ignoredError sqref="F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95"/>
  <sheetViews>
    <sheetView workbookViewId="0">
      <selection activeCell="D6" sqref="D6"/>
    </sheetView>
  </sheetViews>
  <sheetFormatPr defaultRowHeight="12.75" x14ac:dyDescent="0.2"/>
  <cols>
    <col min="2" max="2" width="10.85546875" bestFit="1" customWidth="1"/>
    <col min="3" max="3" width="11.28515625" bestFit="1" customWidth="1"/>
  </cols>
  <sheetData>
    <row r="1" spans="1:3" ht="18.75" x14ac:dyDescent="0.35">
      <c r="A1" s="8" t="s">
        <v>55</v>
      </c>
    </row>
    <row r="3" spans="1:3" x14ac:dyDescent="0.2">
      <c r="A3" t="s">
        <v>0</v>
      </c>
      <c r="B3" t="s">
        <v>1</v>
      </c>
      <c r="C3" t="s">
        <v>2</v>
      </c>
    </row>
    <row r="4" spans="1:3" x14ac:dyDescent="0.2">
      <c r="A4">
        <v>2009</v>
      </c>
      <c r="B4" s="10">
        <v>0.45831625599542042</v>
      </c>
      <c r="C4" s="36">
        <v>0.39389999999999997</v>
      </c>
    </row>
    <row r="5" spans="1:3" x14ac:dyDescent="0.2">
      <c r="A5">
        <v>2010</v>
      </c>
      <c r="B5" s="15">
        <v>0.47954014047307586</v>
      </c>
      <c r="C5" s="36">
        <v>0.39389999999999997</v>
      </c>
    </row>
    <row r="6" spans="1:3" x14ac:dyDescent="0.2">
      <c r="A6">
        <v>2011</v>
      </c>
      <c r="B6" s="10">
        <v>0.48652015941185728</v>
      </c>
      <c r="C6" s="36">
        <v>0.39389999999999997</v>
      </c>
    </row>
    <row r="7" spans="1:3" x14ac:dyDescent="0.2">
      <c r="A7">
        <v>2012</v>
      </c>
      <c r="B7" s="10">
        <v>0.47824332401288633</v>
      </c>
      <c r="C7" s="36">
        <v>0.39389999999999997</v>
      </c>
    </row>
    <row r="8" spans="1:3" x14ac:dyDescent="0.2">
      <c r="A8">
        <v>2013</v>
      </c>
      <c r="B8" s="10">
        <v>0.4600794106779591</v>
      </c>
      <c r="C8" s="36">
        <v>0.39389999999999997</v>
      </c>
    </row>
    <row r="9" spans="1:3" x14ac:dyDescent="0.2">
      <c r="A9">
        <v>2014</v>
      </c>
      <c r="B9" s="10">
        <v>0.46042191505950519</v>
      </c>
      <c r="C9" s="36">
        <v>0.39389999999999997</v>
      </c>
    </row>
    <row r="10" spans="1:3" x14ac:dyDescent="0.2">
      <c r="A10">
        <v>2015</v>
      </c>
      <c r="B10" s="10">
        <v>0.46016026736625754</v>
      </c>
      <c r="C10" s="36">
        <v>0.39389999999999997</v>
      </c>
    </row>
    <row r="11" spans="1:3" x14ac:dyDescent="0.2">
      <c r="A11">
        <v>2016</v>
      </c>
      <c r="B11" s="10">
        <v>0.43173787272769315</v>
      </c>
      <c r="C11" s="36">
        <v>0.39389999999999997</v>
      </c>
    </row>
    <row r="12" spans="1:3" x14ac:dyDescent="0.2">
      <c r="A12">
        <v>2017</v>
      </c>
      <c r="B12" s="10">
        <v>0.41368059200306084</v>
      </c>
      <c r="C12" s="36">
        <v>0.39389999999999997</v>
      </c>
    </row>
    <row r="13" spans="1:3" x14ac:dyDescent="0.2">
      <c r="A13">
        <v>2018</v>
      </c>
      <c r="B13" s="10">
        <v>0.40603709457657178</v>
      </c>
      <c r="C13" s="36">
        <v>0.39389999999999997</v>
      </c>
    </row>
    <row r="14" spans="1:3" x14ac:dyDescent="0.2">
      <c r="A14">
        <v>2019</v>
      </c>
      <c r="B14" s="10">
        <v>0.39317595168218084</v>
      </c>
      <c r="C14" s="36">
        <v>0.39389999999999997</v>
      </c>
    </row>
    <row r="15" spans="1:3" x14ac:dyDescent="0.2">
      <c r="A15">
        <v>2020</v>
      </c>
      <c r="B15" s="10">
        <v>0.37238892626704373</v>
      </c>
      <c r="C15" s="36">
        <v>0.39389999999999997</v>
      </c>
    </row>
    <row r="16" spans="1:3" x14ac:dyDescent="0.2">
      <c r="A16">
        <v>2021</v>
      </c>
      <c r="B16" s="10">
        <v>0.32829547817962912</v>
      </c>
      <c r="C16" s="36">
        <v>0.39389999999999997</v>
      </c>
    </row>
    <row r="17" spans="1:3" x14ac:dyDescent="0.2">
      <c r="A17">
        <v>2022</v>
      </c>
      <c r="B17" s="10">
        <v>0.31435051433258754</v>
      </c>
      <c r="C17" s="36">
        <v>0.39389999999999997</v>
      </c>
    </row>
    <row r="18" spans="1:3" x14ac:dyDescent="0.2">
      <c r="A18">
        <v>2023</v>
      </c>
      <c r="B18" s="10">
        <v>0.29779773020820499</v>
      </c>
      <c r="C18" s="36">
        <v>0.39389999999999997</v>
      </c>
    </row>
    <row r="19" spans="1:3" x14ac:dyDescent="0.2">
      <c r="A19">
        <v>2024</v>
      </c>
      <c r="B19" s="10">
        <v>0.29708632852061406</v>
      </c>
      <c r="C19" s="36">
        <v>0.39389999999999997</v>
      </c>
    </row>
    <row r="20" spans="1:3" x14ac:dyDescent="0.2">
      <c r="A20">
        <v>2025</v>
      </c>
      <c r="B20" s="10">
        <v>0.29597574377637992</v>
      </c>
      <c r="C20" s="36">
        <v>0.39389999999999997</v>
      </c>
    </row>
    <row r="21" spans="1:3" x14ac:dyDescent="0.2">
      <c r="A21">
        <v>2026</v>
      </c>
      <c r="B21" s="10">
        <v>0.27867736085795458</v>
      </c>
      <c r="C21" s="36">
        <v>0.37007333333333331</v>
      </c>
    </row>
    <row r="22" spans="1:3" x14ac:dyDescent="0.2">
      <c r="A22">
        <v>2027</v>
      </c>
      <c r="B22" s="10">
        <v>0.26137897793952924</v>
      </c>
      <c r="C22" s="36">
        <v>0.34624666666666665</v>
      </c>
    </row>
    <row r="23" spans="1:3" x14ac:dyDescent="0.2">
      <c r="A23">
        <v>2028</v>
      </c>
      <c r="B23" s="10">
        <v>0.24408059502110391</v>
      </c>
      <c r="C23" s="36">
        <v>0.32241999999999998</v>
      </c>
    </row>
    <row r="24" spans="1:3" x14ac:dyDescent="0.2">
      <c r="A24">
        <v>2029</v>
      </c>
      <c r="B24" s="10">
        <v>0.22678221210267857</v>
      </c>
      <c r="C24" s="36">
        <v>0.29859333333333332</v>
      </c>
    </row>
    <row r="25" spans="1:3" x14ac:dyDescent="0.2">
      <c r="A25">
        <v>2030</v>
      </c>
      <c r="B25" s="10">
        <v>0.20948382918425323</v>
      </c>
      <c r="C25" s="36">
        <v>0.27476666666666666</v>
      </c>
    </row>
    <row r="26" spans="1:3" x14ac:dyDescent="0.2">
      <c r="A26">
        <v>2031</v>
      </c>
      <c r="B26" s="10">
        <v>0.1921854462658279</v>
      </c>
      <c r="C26" s="36">
        <v>0.25094</v>
      </c>
    </row>
    <row r="27" spans="1:3" x14ac:dyDescent="0.2">
      <c r="A27">
        <v>2032</v>
      </c>
      <c r="B27" s="10">
        <v>0.17488706334740256</v>
      </c>
      <c r="C27" s="36">
        <v>0.22711333333333333</v>
      </c>
    </row>
    <row r="28" spans="1:3" x14ac:dyDescent="0.2">
      <c r="A28">
        <v>2033</v>
      </c>
      <c r="B28" s="10">
        <v>0.15758868042897722</v>
      </c>
      <c r="C28" s="36">
        <v>0.20328666666666667</v>
      </c>
    </row>
    <row r="29" spans="1:3" x14ac:dyDescent="0.2">
      <c r="A29">
        <v>2034</v>
      </c>
      <c r="B29" s="10">
        <v>0.14029029751055189</v>
      </c>
      <c r="C29" s="36">
        <v>0.17946000000000001</v>
      </c>
    </row>
    <row r="30" spans="1:3" x14ac:dyDescent="0.2">
      <c r="A30">
        <v>2035</v>
      </c>
      <c r="B30" s="10">
        <v>0.12299191459212655</v>
      </c>
      <c r="C30" s="36">
        <v>0.15563333333333335</v>
      </c>
    </row>
    <row r="31" spans="1:3" x14ac:dyDescent="0.2">
      <c r="A31">
        <v>2036</v>
      </c>
      <c r="B31" s="10">
        <v>0.10569353167370121</v>
      </c>
      <c r="C31" s="36">
        <v>0.13180666666666668</v>
      </c>
    </row>
    <row r="32" spans="1:3" x14ac:dyDescent="0.2">
      <c r="A32">
        <v>2037</v>
      </c>
      <c r="B32" s="10">
        <v>8.8395148755275876E-2</v>
      </c>
      <c r="C32" s="36">
        <v>0.10798000000000002</v>
      </c>
    </row>
    <row r="33" spans="1:3" x14ac:dyDescent="0.2">
      <c r="A33">
        <v>2038</v>
      </c>
      <c r="B33" s="10">
        <v>7.109676583685054E-2</v>
      </c>
      <c r="C33" s="36">
        <v>8.4153333333333358E-2</v>
      </c>
    </row>
    <row r="34" spans="1:3" x14ac:dyDescent="0.2">
      <c r="A34">
        <v>2039</v>
      </c>
      <c r="B34" s="10">
        <v>5.379838291842521E-2</v>
      </c>
      <c r="C34" s="36">
        <v>6.0326666666666695E-2</v>
      </c>
    </row>
    <row r="35" spans="1:3" x14ac:dyDescent="0.2">
      <c r="A35">
        <v>2040</v>
      </c>
      <c r="B35" s="10">
        <v>3.6499999999999998E-2</v>
      </c>
      <c r="C35" s="36">
        <v>3.6499999999999998E-2</v>
      </c>
    </row>
    <row r="36" spans="1:3" x14ac:dyDescent="0.2">
      <c r="A36">
        <v>2041</v>
      </c>
      <c r="B36" s="10">
        <v>3.5109999999999995E-2</v>
      </c>
      <c r="C36" s="36">
        <v>3.5109999999999995E-2</v>
      </c>
    </row>
    <row r="37" spans="1:3" x14ac:dyDescent="0.2">
      <c r="A37">
        <v>2042</v>
      </c>
      <c r="B37" s="10">
        <v>3.3719999999999993E-2</v>
      </c>
      <c r="C37" s="36">
        <v>3.3719999999999993E-2</v>
      </c>
    </row>
    <row r="38" spans="1:3" x14ac:dyDescent="0.2">
      <c r="A38">
        <v>2043</v>
      </c>
      <c r="B38" s="10">
        <v>3.2329999999999991E-2</v>
      </c>
      <c r="C38" s="36">
        <v>3.2329999999999991E-2</v>
      </c>
    </row>
    <row r="39" spans="1:3" x14ac:dyDescent="0.2">
      <c r="A39">
        <v>2044</v>
      </c>
      <c r="B39" s="10">
        <v>3.0939999999999992E-2</v>
      </c>
      <c r="C39" s="36">
        <v>3.0939999999999992E-2</v>
      </c>
    </row>
    <row r="40" spans="1:3" x14ac:dyDescent="0.2">
      <c r="A40">
        <v>2045</v>
      </c>
      <c r="B40" s="10">
        <v>2.9549999999999993E-2</v>
      </c>
      <c r="C40" s="36">
        <v>2.9549999999999993E-2</v>
      </c>
    </row>
    <row r="41" spans="1:3" x14ac:dyDescent="0.2">
      <c r="A41">
        <v>2046</v>
      </c>
      <c r="B41" s="10">
        <v>2.8159999999999994E-2</v>
      </c>
      <c r="C41" s="36">
        <v>2.8159999999999994E-2</v>
      </c>
    </row>
    <row r="42" spans="1:3" x14ac:dyDescent="0.2">
      <c r="A42">
        <v>2047</v>
      </c>
      <c r="B42" s="10">
        <v>2.6769999999999995E-2</v>
      </c>
      <c r="C42" s="36">
        <v>2.6769999999999995E-2</v>
      </c>
    </row>
    <row r="43" spans="1:3" x14ac:dyDescent="0.2">
      <c r="A43">
        <v>2048</v>
      </c>
      <c r="B43" s="10">
        <v>2.5379999999999996E-2</v>
      </c>
      <c r="C43" s="36">
        <v>2.5379999999999996E-2</v>
      </c>
    </row>
    <row r="44" spans="1:3" x14ac:dyDescent="0.2">
      <c r="A44">
        <v>2049</v>
      </c>
      <c r="B44" s="10">
        <v>2.3989999999999997E-2</v>
      </c>
      <c r="C44" s="36">
        <v>2.3989999999999997E-2</v>
      </c>
    </row>
    <row r="45" spans="1:3" x14ac:dyDescent="0.2">
      <c r="A45">
        <v>2050</v>
      </c>
      <c r="B45" s="10">
        <v>2.2599999999999999E-2</v>
      </c>
      <c r="C45" s="36">
        <v>2.2599999999999999E-2</v>
      </c>
    </row>
    <row r="46" spans="1:3" x14ac:dyDescent="0.2">
      <c r="A46">
        <v>2051</v>
      </c>
      <c r="B46" s="10"/>
      <c r="C46" s="36">
        <v>2.2599999999999999E-2</v>
      </c>
    </row>
    <row r="47" spans="1:3" x14ac:dyDescent="0.2">
      <c r="A47">
        <v>2052</v>
      </c>
      <c r="B47" s="10"/>
      <c r="C47" s="36">
        <v>2.2599999999999999E-2</v>
      </c>
    </row>
    <row r="48" spans="1:3" x14ac:dyDescent="0.2">
      <c r="A48">
        <v>2053</v>
      </c>
      <c r="B48" s="10"/>
      <c r="C48" s="36">
        <v>2.2599999999999999E-2</v>
      </c>
    </row>
    <row r="49" spans="1:3" x14ac:dyDescent="0.2">
      <c r="A49">
        <v>2054</v>
      </c>
      <c r="B49" s="10"/>
      <c r="C49" s="36">
        <v>2.2599999999999999E-2</v>
      </c>
    </row>
    <row r="50" spans="1:3" x14ac:dyDescent="0.2">
      <c r="A50">
        <v>2055</v>
      </c>
      <c r="B50" s="10"/>
      <c r="C50" s="36">
        <v>2.2599999999999999E-2</v>
      </c>
    </row>
    <row r="51" spans="1:3" x14ac:dyDescent="0.2">
      <c r="A51">
        <v>2056</v>
      </c>
      <c r="B51" s="10"/>
      <c r="C51" s="36">
        <v>2.2599999999999999E-2</v>
      </c>
    </row>
    <row r="52" spans="1:3" x14ac:dyDescent="0.2">
      <c r="A52">
        <v>2057</v>
      </c>
      <c r="B52" s="10"/>
      <c r="C52" s="36">
        <v>2.2599999999999999E-2</v>
      </c>
    </row>
    <row r="53" spans="1:3" x14ac:dyDescent="0.2">
      <c r="A53">
        <v>2058</v>
      </c>
      <c r="B53" s="10"/>
      <c r="C53" s="36">
        <v>2.2599999999999999E-2</v>
      </c>
    </row>
    <row r="54" spans="1:3" x14ac:dyDescent="0.2">
      <c r="A54">
        <v>2059</v>
      </c>
      <c r="B54" s="10"/>
      <c r="C54" s="36">
        <v>2.2599999999999999E-2</v>
      </c>
    </row>
    <row r="55" spans="1:3" x14ac:dyDescent="0.2">
      <c r="A55">
        <v>2060</v>
      </c>
      <c r="B55" s="10"/>
      <c r="C55" s="36">
        <v>2.2599999999999999E-2</v>
      </c>
    </row>
    <row r="56" spans="1:3" x14ac:dyDescent="0.2">
      <c r="A56">
        <v>2061</v>
      </c>
      <c r="B56" s="10"/>
      <c r="C56" s="36">
        <v>2.2599999999999999E-2</v>
      </c>
    </row>
    <row r="57" spans="1:3" x14ac:dyDescent="0.2">
      <c r="A57">
        <v>2062</v>
      </c>
      <c r="B57" s="10"/>
      <c r="C57" s="36">
        <v>2.2599999999999999E-2</v>
      </c>
    </row>
    <row r="58" spans="1:3" x14ac:dyDescent="0.2">
      <c r="A58">
        <v>2063</v>
      </c>
      <c r="B58" s="10"/>
      <c r="C58" s="36">
        <v>2.2599999999999999E-2</v>
      </c>
    </row>
    <row r="59" spans="1:3" x14ac:dyDescent="0.2">
      <c r="A59">
        <v>2064</v>
      </c>
      <c r="B59" s="10"/>
      <c r="C59" s="36">
        <v>2.2599999999999999E-2</v>
      </c>
    </row>
    <row r="60" spans="1:3" x14ac:dyDescent="0.2">
      <c r="A60">
        <v>2065</v>
      </c>
      <c r="B60" s="10"/>
      <c r="C60" s="36">
        <v>2.2599999999999999E-2</v>
      </c>
    </row>
    <row r="61" spans="1:3" x14ac:dyDescent="0.2">
      <c r="A61">
        <v>2066</v>
      </c>
      <c r="B61" s="10"/>
      <c r="C61" s="36">
        <v>2.2599999999999999E-2</v>
      </c>
    </row>
    <row r="62" spans="1:3" x14ac:dyDescent="0.2">
      <c r="A62">
        <v>2067</v>
      </c>
      <c r="B62" s="10"/>
      <c r="C62" s="36">
        <v>2.2599999999999999E-2</v>
      </c>
    </row>
    <row r="63" spans="1:3" x14ac:dyDescent="0.2">
      <c r="A63">
        <v>2068</v>
      </c>
      <c r="B63" s="10"/>
      <c r="C63" s="36">
        <v>2.2599999999999999E-2</v>
      </c>
    </row>
    <row r="64" spans="1:3" x14ac:dyDescent="0.2">
      <c r="A64">
        <v>2069</v>
      </c>
      <c r="B64" s="10"/>
      <c r="C64" s="36">
        <v>2.2599999999999999E-2</v>
      </c>
    </row>
    <row r="65" spans="1:3" x14ac:dyDescent="0.2">
      <c r="A65">
        <v>2070</v>
      </c>
      <c r="B65" s="10"/>
      <c r="C65" s="36">
        <v>2.2599999999999999E-2</v>
      </c>
    </row>
    <row r="66" spans="1:3" x14ac:dyDescent="0.2">
      <c r="A66">
        <v>2071</v>
      </c>
      <c r="B66" s="10"/>
      <c r="C66" s="36">
        <v>2.2599999999999999E-2</v>
      </c>
    </row>
    <row r="67" spans="1:3" x14ac:dyDescent="0.2">
      <c r="A67">
        <v>2072</v>
      </c>
      <c r="B67" s="10"/>
      <c r="C67" s="36">
        <v>2.2599999999999999E-2</v>
      </c>
    </row>
    <row r="68" spans="1:3" x14ac:dyDescent="0.2">
      <c r="A68">
        <v>2073</v>
      </c>
      <c r="B68" s="10"/>
      <c r="C68" s="36">
        <v>2.2599999999999999E-2</v>
      </c>
    </row>
    <row r="69" spans="1:3" x14ac:dyDescent="0.2">
      <c r="A69">
        <v>2074</v>
      </c>
      <c r="B69" s="10"/>
      <c r="C69" s="36">
        <v>2.2599999999999999E-2</v>
      </c>
    </row>
    <row r="70" spans="1:3" x14ac:dyDescent="0.2">
      <c r="A70">
        <v>2075</v>
      </c>
      <c r="B70" s="10"/>
      <c r="C70" s="36">
        <v>2.2599999999999999E-2</v>
      </c>
    </row>
    <row r="71" spans="1:3" x14ac:dyDescent="0.2">
      <c r="A71">
        <v>2076</v>
      </c>
      <c r="B71" s="10"/>
      <c r="C71" s="36">
        <v>2.2599999999999999E-2</v>
      </c>
    </row>
    <row r="72" spans="1:3" x14ac:dyDescent="0.2">
      <c r="A72">
        <v>2077</v>
      </c>
      <c r="B72" s="10"/>
      <c r="C72" s="36">
        <v>2.2599999999999999E-2</v>
      </c>
    </row>
    <row r="73" spans="1:3" x14ac:dyDescent="0.2">
      <c r="A73">
        <v>2078</v>
      </c>
      <c r="B73" s="10"/>
      <c r="C73" s="36">
        <v>2.2599999999999999E-2</v>
      </c>
    </row>
    <row r="74" spans="1:3" x14ac:dyDescent="0.2">
      <c r="A74">
        <v>2079</v>
      </c>
      <c r="B74" s="10"/>
      <c r="C74" s="36">
        <v>2.2599999999999999E-2</v>
      </c>
    </row>
    <row r="75" spans="1:3" x14ac:dyDescent="0.2">
      <c r="A75">
        <v>2080</v>
      </c>
      <c r="B75" s="10"/>
      <c r="C75" s="36">
        <v>2.2599999999999999E-2</v>
      </c>
    </row>
    <row r="76" spans="1:3" x14ac:dyDescent="0.2">
      <c r="A76">
        <v>2081</v>
      </c>
      <c r="B76" s="10"/>
      <c r="C76" s="36">
        <v>2.2599999999999999E-2</v>
      </c>
    </row>
    <row r="77" spans="1:3" x14ac:dyDescent="0.2">
      <c r="A77">
        <v>2082</v>
      </c>
      <c r="B77" s="10"/>
      <c r="C77" s="36">
        <v>2.2599999999999999E-2</v>
      </c>
    </row>
    <row r="78" spans="1:3" x14ac:dyDescent="0.2">
      <c r="A78">
        <v>2083</v>
      </c>
      <c r="B78" s="10"/>
      <c r="C78" s="36">
        <v>2.2599999999999999E-2</v>
      </c>
    </row>
    <row r="79" spans="1:3" x14ac:dyDescent="0.2">
      <c r="A79">
        <v>2084</v>
      </c>
      <c r="B79" s="10"/>
      <c r="C79" s="36">
        <v>2.2599999999999999E-2</v>
      </c>
    </row>
    <row r="80" spans="1:3" x14ac:dyDescent="0.2">
      <c r="A80">
        <v>2085</v>
      </c>
      <c r="B80" s="10"/>
      <c r="C80" s="36">
        <v>2.2599999999999999E-2</v>
      </c>
    </row>
    <row r="81" spans="1:3" x14ac:dyDescent="0.2">
      <c r="A81">
        <v>2086</v>
      </c>
      <c r="B81" s="10"/>
      <c r="C81" s="36">
        <v>2.2599999999999999E-2</v>
      </c>
    </row>
    <row r="82" spans="1:3" x14ac:dyDescent="0.2">
      <c r="A82">
        <v>2087</v>
      </c>
      <c r="B82" s="10"/>
      <c r="C82" s="36">
        <v>2.2599999999999999E-2</v>
      </c>
    </row>
    <row r="83" spans="1:3" x14ac:dyDescent="0.2">
      <c r="A83">
        <v>2088</v>
      </c>
      <c r="B83" s="10"/>
      <c r="C83" s="36">
        <v>2.2599999999999999E-2</v>
      </c>
    </row>
    <row r="84" spans="1:3" x14ac:dyDescent="0.2">
      <c r="A84">
        <v>2089</v>
      </c>
      <c r="B84" s="10"/>
      <c r="C84" s="36">
        <v>2.2599999999999999E-2</v>
      </c>
    </row>
    <row r="85" spans="1:3" x14ac:dyDescent="0.2">
      <c r="A85">
        <v>2090</v>
      </c>
      <c r="B85" s="10"/>
      <c r="C85" s="36">
        <v>2.2599999999999999E-2</v>
      </c>
    </row>
    <row r="86" spans="1:3" x14ac:dyDescent="0.2">
      <c r="A86">
        <v>2091</v>
      </c>
      <c r="B86" s="10"/>
      <c r="C86" s="36">
        <v>2.2599999999999999E-2</v>
      </c>
    </row>
    <row r="87" spans="1:3" x14ac:dyDescent="0.2">
      <c r="A87">
        <v>2092</v>
      </c>
      <c r="B87" s="10"/>
      <c r="C87" s="36">
        <v>2.2599999999999999E-2</v>
      </c>
    </row>
    <row r="88" spans="1:3" x14ac:dyDescent="0.2">
      <c r="A88">
        <v>2093</v>
      </c>
      <c r="B88" s="10"/>
      <c r="C88" s="36">
        <v>2.2599999999999999E-2</v>
      </c>
    </row>
    <row r="89" spans="1:3" x14ac:dyDescent="0.2">
      <c r="A89">
        <v>2094</v>
      </c>
      <c r="B89" s="10"/>
      <c r="C89" s="36">
        <v>2.2599999999999999E-2</v>
      </c>
    </row>
    <row r="90" spans="1:3" x14ac:dyDescent="0.2">
      <c r="A90">
        <v>2095</v>
      </c>
      <c r="B90" s="10"/>
      <c r="C90" s="36">
        <v>2.2599999999999999E-2</v>
      </c>
    </row>
    <row r="91" spans="1:3" x14ac:dyDescent="0.2">
      <c r="A91">
        <v>2096</v>
      </c>
      <c r="B91" s="10"/>
      <c r="C91" s="36">
        <v>2.2599999999999999E-2</v>
      </c>
    </row>
    <row r="92" spans="1:3" x14ac:dyDescent="0.2">
      <c r="A92">
        <v>2097</v>
      </c>
      <c r="B92" s="10"/>
      <c r="C92" s="36">
        <v>2.2599999999999999E-2</v>
      </c>
    </row>
    <row r="93" spans="1:3" x14ac:dyDescent="0.2">
      <c r="A93">
        <v>2098</v>
      </c>
      <c r="B93" s="10"/>
      <c r="C93" s="36">
        <v>2.2599999999999999E-2</v>
      </c>
    </row>
    <row r="94" spans="1:3" x14ac:dyDescent="0.2">
      <c r="A94">
        <v>2099</v>
      </c>
      <c r="B94" s="10"/>
      <c r="C94" s="36">
        <v>2.2599999999999999E-2</v>
      </c>
    </row>
    <row r="95" spans="1:3" x14ac:dyDescent="0.2">
      <c r="A95">
        <v>2100</v>
      </c>
      <c r="B95" s="10"/>
      <c r="C95" s="36">
        <v>2.2599999999999999E-2</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welcome</vt:lpstr>
      <vt:lpstr>getting started</vt:lpstr>
      <vt:lpstr>Assessment</vt:lpstr>
      <vt:lpstr>IRR</vt:lpstr>
      <vt:lpstr>Variables</vt:lpstr>
      <vt:lpstr>Results_</vt:lpstr>
      <vt:lpstr>Inputs</vt:lpstr>
      <vt:lpstr>DefaultResults</vt:lpstr>
      <vt:lpstr>Table 1</vt:lpstr>
      <vt:lpstr>Table 2a</vt:lpstr>
      <vt:lpstr>Tables 4-9</vt:lpstr>
      <vt:lpstr>Tables 4-9 (2)</vt:lpstr>
      <vt:lpstr>Tables 10-15</vt:lpstr>
      <vt:lpstr>Tables 16-21</vt:lpstr>
      <vt:lpstr>Tables 22-27</vt:lpstr>
      <vt:lpstr>'Table 1'!_ftnref1</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Hentschel</dc:creator>
  <cp:lastModifiedBy>Charlie</cp:lastModifiedBy>
  <dcterms:created xsi:type="dcterms:W3CDTF">2010-01-18T14:34:38Z</dcterms:created>
  <dcterms:modified xsi:type="dcterms:W3CDTF">2013-06-10T14:26:34Z</dcterms:modified>
</cp:coreProperties>
</file>